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userName="Hackbarth, Randall" algorithmName="SHA-512" hashValue="tM9Sg9fGv0JTZNALvBKLS/LL5y3es4Y/4E8EhvERlfgVNZqLFT35hkkwHie5zVtBZ7x59WpvSFNVbddvhW9csQ==" saltValue="9+UUx5PLVk/NxYFqTzfGLw==" spinCount="100000"/>
  <workbookPr defaultThemeVersion="124226"/>
  <mc:AlternateContent xmlns:mc="http://schemas.openxmlformats.org/markup-compatibility/2006">
    <mc:Choice Requires="x15">
      <x15ac:absPath xmlns:x15ac="http://schemas.microsoft.com/office/spreadsheetml/2010/11/ac" url="\\albgp03\Cost of Service\Revenue Requirements\Rate Cases &amp; Filings\FERC\FERC Transmission\2024 Transmission Filing\Final\"/>
    </mc:Choice>
  </mc:AlternateContent>
  <xr:revisionPtr revIDLastSave="0" documentId="13_ncr:10001_{ECE74D59-A690-4DC8-A03F-32929049B47F}" xr6:coauthVersionLast="47" xr6:coauthVersionMax="47" xr10:uidLastSave="{00000000-0000-0000-0000-000000000000}"/>
  <bookViews>
    <workbookView xWindow="28680" yWindow="-120" windowWidth="29040" windowHeight="15840" xr2:uid="{D8649FCA-825D-4029-9D57-20370E90F66C}"/>
  </bookViews>
  <sheets>
    <sheet name="Summary" sheetId="38" r:id="rId1"/>
    <sheet name="Attachment H-1" sheetId="1" r:id="rId2"/>
    <sheet name="FERC Form 1 Inputs" sheetId="37" r:id="rId3"/>
    <sheet name="Schedule 1 - Plant" sheetId="2" r:id="rId4"/>
    <sheet name="Schedule 1A - Svcs Co Plant_Rev" sheetId="32" r:id="rId5"/>
    <sheet name="Schedule 1B - Projected Plant" sheetId="24" r:id="rId6"/>
    <sheet name="Schedule 1C - Settlement Adjust" sheetId="34" r:id="rId7"/>
    <sheet name="Schedule 2 - ADIT" sheetId="3" r:id="rId8"/>
    <sheet name="Schedule 3 - Transmission Wages" sheetId="4" r:id="rId9"/>
    <sheet name="Schedule 4 - Regulatory Assets" sheetId="6" r:id="rId10"/>
    <sheet name="Schedule 5 Misc Def Debits" sheetId="8" r:id="rId11"/>
    <sheet name="Schedule 6 (Reserved)" sheetId="9" r:id="rId12"/>
    <sheet name="Schedule 7 - Working capital" sheetId="11" r:id="rId13"/>
    <sheet name="Schedule 8 Other Deferred" sheetId="10" r:id="rId14"/>
    <sheet name="Schedule 9 O&amp;M" sheetId="12" r:id="rId15"/>
    <sheet name="Schedule 10 TOTI" sheetId="14" r:id="rId16"/>
    <sheet name="Schedule 11 Income Tax" sheetId="15" r:id="rId17"/>
    <sheet name="Schedule 12 Revenue Credits" sheetId="17" r:id="rId18"/>
    <sheet name="Schedule12A FERC p328" sheetId="39" r:id="rId19"/>
    <sheet name="Schedule 13 Direct Assignment" sheetId="27" r:id="rId20"/>
    <sheet name="Schedule 13 A - Detail" sheetId="35" r:id="rId21"/>
    <sheet name="Schedule 14 ADIT" sheetId="40" r:id="rId22"/>
    <sheet name="Schedule 15 Interest Expense" sheetId="33" r:id="rId23"/>
    <sheet name="Schedule 16 - Rate Design " sheetId="29" r:id="rId24"/>
    <sheet name="Sch 17 - Trans Demand Allocator" sheetId="30" r:id="rId25"/>
    <sheet name="Sch 18 - Imputed WAPA Trans Exp" sheetId="25" r:id="rId26"/>
    <sheet name="Schedule 19 - Third Party Trans" sheetId="20" r:id="rId27"/>
    <sheet name="Sch 20 - Gen Demand Allocator" sheetId="21" r:id="rId28"/>
  </sheets>
  <definedNames>
    <definedName name="_xlnm._FilterDatabase" localSheetId="18" hidden="1">'Schedule12A FERC p328'!$A$8:$AF$124</definedName>
    <definedName name="EssLatest" localSheetId="2">"Jan 2008"</definedName>
    <definedName name="EssOptions" localSheetId="2">"A1000001100110000000101100020_01001000"</definedName>
    <definedName name="EssOptions" localSheetId="3">"A1100000000030000000001100020_000000"</definedName>
    <definedName name="EssOptions" localSheetId="15">"A1000001100110000000101100020_01001000"</definedName>
    <definedName name="EssOptions" localSheetId="5">"A1000001100010000011111101020_01001000"</definedName>
    <definedName name="EssOptions" localSheetId="18">"A1100000000030000000001100020_000000"</definedName>
    <definedName name="EssSamplingValue" localSheetId="2">100</definedName>
    <definedName name="EssSamplingValue" localSheetId="3">100</definedName>
    <definedName name="EssSamplingValue" localSheetId="15">100</definedName>
    <definedName name="EssSamplingValue" localSheetId="5">100</definedName>
    <definedName name="EssSamplingValue" localSheetId="18">100</definedName>
    <definedName name="_xlnm.Print_Area" localSheetId="1">'Attachment H-1'!$A$1:$I$314</definedName>
    <definedName name="_xlnm.Print_Area" localSheetId="24">'Sch 17 - Trans Demand Allocator'!$A$1:$R$125</definedName>
    <definedName name="_xlnm.Print_Area" localSheetId="27">'Sch 20 - Gen Demand Allocator'!$A$1:$Q$44</definedName>
    <definedName name="_xlnm.Print_Area" localSheetId="15">'Schedule 10 TOTI'!$A$1:$H$62</definedName>
    <definedName name="_xlnm.Print_Area" localSheetId="16">'Schedule 11 Income Tax'!$A$1:$G$53</definedName>
    <definedName name="_xlnm.Print_Area" localSheetId="17">'Schedule 12 Revenue Credits'!$A$1:$F$26</definedName>
    <definedName name="_xlnm.Print_Area" localSheetId="23">'Schedule 16 - Rate Design '!$A$1:$G$116</definedName>
    <definedName name="_xlnm.Print_Area" localSheetId="26">'Schedule 19 - Third Party Trans'!$A$1:$L$36</definedName>
    <definedName name="_xlnm.Print_Area" localSheetId="5">'Schedule 1B - Projected Plant'!$A$1:$V$125</definedName>
    <definedName name="_xlnm.Print_Area" localSheetId="7">'Schedule 2 - ADIT'!$A$1:$I$65</definedName>
    <definedName name="_xlnm.Print_Titles" localSheetId="1">'Attachment H-1'!$1:$6</definedName>
    <definedName name="_xlnm.Print_Titles" localSheetId="24">'Sch 17 - Trans Demand Allocator'!$1:$3</definedName>
    <definedName name="_xlnm.Print_Titles" localSheetId="25">'Sch 18 - Imputed WAPA Trans Exp'!$1:$3</definedName>
    <definedName name="_xlnm.Print_Titles" localSheetId="27">'Sch 20 - Gen Demand Allocator'!$1:$2</definedName>
    <definedName name="_xlnm.Print_Titles" localSheetId="3">'Schedule 1 - Plant'!$1:$3</definedName>
    <definedName name="_xlnm.Print_Titles" localSheetId="15">'Schedule 10 TOTI'!$1:$3</definedName>
    <definedName name="_xlnm.Print_Titles" localSheetId="16">'Schedule 11 Income Tax'!$1:$3</definedName>
    <definedName name="_xlnm.Print_Titles" localSheetId="17">'Schedule 12 Revenue Credits'!$1:$3</definedName>
    <definedName name="_xlnm.Print_Titles" localSheetId="19">'Schedule 13 Direct Assignment'!$1:$3</definedName>
    <definedName name="_xlnm.Print_Titles" localSheetId="21">'Schedule 14 ADIT'!$1:$3</definedName>
    <definedName name="_xlnm.Print_Titles" localSheetId="22">'Schedule 15 Interest Expense'!$1:$3</definedName>
    <definedName name="_xlnm.Print_Titles" localSheetId="23">'Schedule 16 - Rate Design '!$1:$4</definedName>
    <definedName name="_xlnm.Print_Titles" localSheetId="26">'Schedule 19 - Third Party Trans'!$1:$2</definedName>
    <definedName name="_xlnm.Print_Titles" localSheetId="4">'Schedule 1A - Svcs Co Plant_Rev'!$1:$3</definedName>
    <definedName name="_xlnm.Print_Titles" localSheetId="5">'Schedule 1B - Projected Plant'!$1:$3</definedName>
    <definedName name="_xlnm.Print_Titles" localSheetId="7">'Schedule 2 - ADIT'!$1:$2</definedName>
    <definedName name="_xlnm.Print_Titles" localSheetId="8">'Schedule 3 - Transmission Wages'!#REF!</definedName>
    <definedName name="_xlnm.Print_Titles" localSheetId="9">'Schedule 4 - Regulatory Assets'!$1:$3</definedName>
    <definedName name="_xlnm.Print_Titles" localSheetId="10">'Schedule 5 Misc Def Debits'!$1:$3</definedName>
    <definedName name="_xlnm.Print_Titles" localSheetId="11">'Schedule 6 (Reserved)'!$1:$3</definedName>
    <definedName name="_xlnm.Print_Titles" localSheetId="12">'Schedule 7 - Working capital'!$1:$3</definedName>
    <definedName name="_xlnm.Print_Titles" localSheetId="13">'Schedule 8 Other Deferred'!$1:$3</definedName>
    <definedName name="_xlnm.Print_Titles" localSheetId="14">'Schedule 9 O&amp;M'!$1:$3</definedName>
    <definedName name="_xlnm.Print_Titles" localSheetId="18">'Schedule12A FERC p328'!$1:$3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3" l="1"/>
  <c r="F38" i="15" l="1"/>
  <c r="D38" i="15"/>
  <c r="P10" i="30" l="1"/>
  <c r="H64" i="3" l="1"/>
  <c r="B7" i="25" l="1"/>
  <c r="D41" i="14"/>
  <c r="D42" i="14"/>
  <c r="E48" i="3" l="1"/>
  <c r="D48" i="3"/>
  <c r="AJ11" i="40" l="1"/>
  <c r="J59" i="27" l="1"/>
  <c r="G50" i="27" l="1"/>
  <c r="P60" i="2" l="1"/>
  <c r="F19" i="2" l="1"/>
  <c r="G27" i="37" l="1"/>
  <c r="Z275" i="39" l="1"/>
  <c r="D8" i="17" s="1"/>
  <c r="H247" i="1" l="1"/>
  <c r="D40" i="14"/>
  <c r="G35" i="37"/>
  <c r="L52" i="37"/>
  <c r="H100" i="2"/>
  <c r="H101" i="2"/>
  <c r="H102" i="2"/>
  <c r="H103" i="2"/>
  <c r="H104" i="2"/>
  <c r="H105" i="2"/>
  <c r="H106" i="2"/>
  <c r="H107" i="2"/>
  <c r="H108" i="2"/>
  <c r="H109" i="2"/>
  <c r="H110" i="2"/>
  <c r="H111" i="2"/>
  <c r="H99" i="2"/>
  <c r="H8" i="2"/>
  <c r="H9" i="2"/>
  <c r="H10" i="2"/>
  <c r="H11" i="2"/>
  <c r="H12" i="2"/>
  <c r="H13" i="2"/>
  <c r="H14" i="2"/>
  <c r="H15" i="2"/>
  <c r="H16" i="2"/>
  <c r="H17" i="2"/>
  <c r="H18" i="2"/>
  <c r="H19" i="2"/>
  <c r="H7" i="2"/>
  <c r="C554" i="34" l="1"/>
  <c r="D554" i="34" s="1"/>
  <c r="E554" i="34" s="1"/>
  <c r="H554" i="34" s="1"/>
  <c r="F554" i="34"/>
  <c r="G554" i="34"/>
  <c r="I554" i="34"/>
  <c r="J554" i="34"/>
  <c r="K554" i="34"/>
  <c r="K555" i="34" s="1"/>
  <c r="K556" i="34" s="1"/>
  <c r="K557" i="34" s="1"/>
  <c r="K558" i="34" s="1"/>
  <c r="K559" i="34" s="1"/>
  <c r="K560" i="34" s="1"/>
  <c r="K561" i="34" s="1"/>
  <c r="K562" i="34" s="1"/>
  <c r="K563" i="34" s="1"/>
  <c r="K564" i="34" s="1"/>
  <c r="K565" i="34" s="1"/>
  <c r="F555" i="34"/>
  <c r="I555" i="34"/>
  <c r="J555" i="34"/>
  <c r="F556" i="34"/>
  <c r="I556" i="34"/>
  <c r="J556" i="34" s="1"/>
  <c r="F557" i="34"/>
  <c r="I557" i="34"/>
  <c r="F558" i="34"/>
  <c r="I558" i="34"/>
  <c r="F559" i="34"/>
  <c r="I559" i="34"/>
  <c r="F560" i="34"/>
  <c r="I560" i="34"/>
  <c r="F561" i="34"/>
  <c r="I561" i="34"/>
  <c r="F562" i="34"/>
  <c r="I562" i="34"/>
  <c r="F563" i="34"/>
  <c r="I563" i="34"/>
  <c r="F564" i="34"/>
  <c r="I564" i="34"/>
  <c r="F565" i="34"/>
  <c r="I565" i="34"/>
  <c r="F382" i="34"/>
  <c r="I382" i="34"/>
  <c r="F383" i="34"/>
  <c r="I383" i="34"/>
  <c r="F384" i="34"/>
  <c r="I384" i="34"/>
  <c r="F385" i="34"/>
  <c r="I385" i="34"/>
  <c r="F386" i="34"/>
  <c r="I386" i="34"/>
  <c r="F387" i="34"/>
  <c r="I387" i="34"/>
  <c r="F388" i="34"/>
  <c r="I388" i="34"/>
  <c r="F389" i="34"/>
  <c r="I389" i="34"/>
  <c r="F390" i="34"/>
  <c r="I390" i="34"/>
  <c r="F391" i="34"/>
  <c r="I391" i="34"/>
  <c r="F392" i="34"/>
  <c r="I392" i="34"/>
  <c r="F393" i="34"/>
  <c r="I393" i="34"/>
  <c r="J557" i="34" l="1"/>
  <c r="J558" i="34" s="1"/>
  <c r="J559" i="34" s="1"/>
  <c r="J560" i="34" s="1"/>
  <c r="J561" i="34" s="1"/>
  <c r="J562" i="34" s="1"/>
  <c r="J563" i="34" s="1"/>
  <c r="J564" i="34" s="1"/>
  <c r="J565" i="34" s="1"/>
  <c r="C555" i="34"/>
  <c r="I52" i="37"/>
  <c r="G555" i="34" l="1"/>
  <c r="C556" i="34"/>
  <c r="D555" i="34"/>
  <c r="E555" i="34" s="1"/>
  <c r="H555" i="34" s="1"/>
  <c r="C557" i="34" l="1"/>
  <c r="D556" i="34"/>
  <c r="E556" i="34" s="1"/>
  <c r="H556" i="34" s="1"/>
  <c r="G556" i="34"/>
  <c r="C558" i="34" l="1"/>
  <c r="D557" i="34"/>
  <c r="E557" i="34" s="1"/>
  <c r="H557" i="34" s="1"/>
  <c r="G557" i="34"/>
  <c r="G558" i="34" l="1"/>
  <c r="D558" i="34"/>
  <c r="E558" i="34" s="1"/>
  <c r="H558" i="34" s="1"/>
  <c r="C559" i="34"/>
  <c r="G559" i="34" l="1"/>
  <c r="C560" i="34"/>
  <c r="D559" i="34"/>
  <c r="E559" i="34" s="1"/>
  <c r="H559" i="34" s="1"/>
  <c r="D560" i="34" l="1"/>
  <c r="E560" i="34" s="1"/>
  <c r="H560" i="34" s="1"/>
  <c r="G560" i="34"/>
  <c r="C561" i="34"/>
  <c r="C562" i="34" l="1"/>
  <c r="D561" i="34"/>
  <c r="E561" i="34" s="1"/>
  <c r="H561" i="34" s="1"/>
  <c r="G561" i="34"/>
  <c r="G562" i="34" l="1"/>
  <c r="D562" i="34"/>
  <c r="E562" i="34" s="1"/>
  <c r="H562" i="34" s="1"/>
  <c r="C563" i="34"/>
  <c r="G563" i="34" l="1"/>
  <c r="C564" i="34"/>
  <c r="D563" i="34"/>
  <c r="E563" i="34" s="1"/>
  <c r="H563" i="34" s="1"/>
  <c r="C565" i="34" l="1"/>
  <c r="D564" i="34"/>
  <c r="E564" i="34" s="1"/>
  <c r="H564" i="34" s="1"/>
  <c r="G564" i="34"/>
  <c r="D565" i="34" l="1"/>
  <c r="E565" i="34" s="1"/>
  <c r="H565" i="34" s="1"/>
  <c r="G565" i="34"/>
  <c r="L54" i="37" l="1"/>
  <c r="C27" i="25" l="1"/>
  <c r="B27" i="25" l="1"/>
  <c r="E76" i="6" l="1"/>
  <c r="D92" i="12" l="1"/>
  <c r="O23" i="40" l="1"/>
  <c r="O22" i="40"/>
  <c r="O21" i="40"/>
  <c r="O20" i="40"/>
  <c r="AC22" i="40"/>
  <c r="AC20" i="40"/>
  <c r="P23" i="40" l="1"/>
  <c r="S23" i="40" s="1"/>
  <c r="R23" i="40" s="1"/>
  <c r="P22" i="40"/>
  <c r="S22" i="40" s="1"/>
  <c r="R22" i="40" s="1"/>
  <c r="AJ20" i="40"/>
  <c r="AE20" i="40"/>
  <c r="AE22" i="40"/>
  <c r="P21" i="40"/>
  <c r="S21" i="40" s="1"/>
  <c r="R21" i="40" s="1"/>
  <c r="AJ21" i="40"/>
  <c r="AJ22" i="40"/>
  <c r="P20" i="40"/>
  <c r="S20" i="40" s="1"/>
  <c r="R20" i="40" s="1"/>
  <c r="AJ23" i="40"/>
  <c r="AJ24" i="40"/>
  <c r="AC21" i="40"/>
  <c r="AC23" i="40"/>
  <c r="AE21" i="40"/>
  <c r="AE23" i="40"/>
  <c r="AD23" i="40"/>
  <c r="T23" i="40"/>
  <c r="U23" i="40" s="1"/>
  <c r="AD22" i="40"/>
  <c r="T22" i="40"/>
  <c r="U22" i="40" s="1"/>
  <c r="AD21" i="40"/>
  <c r="T21" i="40"/>
  <c r="U21" i="40" s="1"/>
  <c r="AD20" i="40"/>
  <c r="T20" i="40"/>
  <c r="U20" i="40" s="1"/>
  <c r="AF21" i="40" l="1"/>
  <c r="AG21" i="40" s="1"/>
  <c r="AK21" i="40" s="1"/>
  <c r="AF22" i="40"/>
  <c r="AG22" i="40"/>
  <c r="AK22" i="40" s="1"/>
  <c r="AF20" i="40"/>
  <c r="AG20" i="40" s="1"/>
  <c r="AK20" i="40" s="1"/>
  <c r="AF23" i="40"/>
  <c r="AG23" i="40" s="1"/>
  <c r="AK23" i="40" s="1"/>
  <c r="I32" i="37" l="1"/>
  <c r="B106" i="29" l="1"/>
  <c r="B107" i="29"/>
  <c r="B108" i="29"/>
  <c r="B109" i="29"/>
  <c r="B110" i="29" s="1"/>
  <c r="B111" i="29" s="1"/>
  <c r="B112" i="29" s="1"/>
  <c r="B113" i="29" s="1"/>
  <c r="B114" i="29" s="1"/>
  <c r="B115" i="29" s="1"/>
  <c r="E36" i="15"/>
  <c r="N55" i="40" l="1"/>
  <c r="M55" i="40"/>
  <c r="N50" i="40"/>
  <c r="M50" i="40"/>
  <c r="N32" i="40"/>
  <c r="M32" i="40"/>
  <c r="N26" i="40" l="1"/>
  <c r="M16" i="40"/>
  <c r="N40" i="40"/>
  <c r="N16" i="40"/>
  <c r="M26" i="40"/>
  <c r="M40" i="40"/>
  <c r="M42" i="40" l="1"/>
  <c r="N42" i="40"/>
  <c r="J70" i="27"/>
  <c r="J69" i="27"/>
  <c r="J66" i="27"/>
  <c r="J64" i="27"/>
  <c r="J63" i="27"/>
  <c r="J62" i="27"/>
  <c r="J61" i="27"/>
  <c r="J60" i="27"/>
  <c r="J65" i="27" l="1"/>
  <c r="J68" i="27"/>
  <c r="J67" i="27"/>
  <c r="L32" i="24" l="1"/>
  <c r="J32" i="24"/>
  <c r="L11" i="24"/>
  <c r="J53" i="24" l="1"/>
  <c r="H54" i="2"/>
  <c r="L37" i="2" l="1"/>
  <c r="C56" i="32"/>
  <c r="AA275" i="39" l="1"/>
  <c r="AA279" i="39" s="1"/>
  <c r="C50" i="30" l="1"/>
  <c r="D50" i="30"/>
  <c r="E50" i="30"/>
  <c r="F50" i="30"/>
  <c r="G50" i="30"/>
  <c r="H50" i="30"/>
  <c r="I50" i="30"/>
  <c r="J50" i="30"/>
  <c r="K50" i="30"/>
  <c r="L50" i="30"/>
  <c r="M50" i="30"/>
  <c r="N50" i="30"/>
  <c r="O115" i="30"/>
  <c r="E107" i="29" s="1"/>
  <c r="D49" i="30"/>
  <c r="E49" i="30"/>
  <c r="F49" i="30"/>
  <c r="G49" i="30"/>
  <c r="H49" i="30"/>
  <c r="I49" i="30"/>
  <c r="J49" i="30"/>
  <c r="K49" i="30"/>
  <c r="L49" i="30"/>
  <c r="M49" i="30"/>
  <c r="N49" i="30"/>
  <c r="C49" i="30"/>
  <c r="P50" i="30" l="1"/>
  <c r="O50" i="30"/>
  <c r="I30" i="35"/>
  <c r="I16" i="35" l="1"/>
  <c r="I28" i="35"/>
  <c r="I14" i="35"/>
  <c r="I18" i="35"/>
  <c r="I5" i="35"/>
  <c r="I7" i="35"/>
  <c r="I9" i="35"/>
  <c r="I19" i="35"/>
  <c r="I21" i="35"/>
  <c r="I23" i="35"/>
  <c r="I25" i="35"/>
  <c r="I6" i="35"/>
  <c r="I10" i="35"/>
  <c r="I22" i="35"/>
  <c r="I26" i="35"/>
  <c r="I11" i="35"/>
  <c r="I27" i="35"/>
  <c r="I31" i="35"/>
  <c r="I8" i="35"/>
  <c r="I15" i="35"/>
  <c r="I17" i="35"/>
  <c r="I24" i="35"/>
  <c r="I13" i="35"/>
  <c r="I20" i="35"/>
  <c r="I29" i="35"/>
  <c r="I12" i="35"/>
  <c r="I4" i="35" l="1"/>
  <c r="H310" i="1" l="1"/>
  <c r="F551" i="34" l="1"/>
  <c r="I551" i="34"/>
  <c r="F552" i="34"/>
  <c r="I552" i="34"/>
  <c r="F553" i="34"/>
  <c r="I553" i="34"/>
  <c r="F530" i="34"/>
  <c r="I530" i="34"/>
  <c r="F531" i="34"/>
  <c r="I531" i="34"/>
  <c r="F532" i="34"/>
  <c r="I532" i="34"/>
  <c r="F533" i="34"/>
  <c r="I533" i="34"/>
  <c r="F534" i="34"/>
  <c r="I534" i="34"/>
  <c r="F535" i="34"/>
  <c r="I535" i="34"/>
  <c r="F536" i="34"/>
  <c r="I536" i="34"/>
  <c r="F537" i="34"/>
  <c r="I537" i="34"/>
  <c r="F538" i="34"/>
  <c r="I538" i="34"/>
  <c r="F539" i="34"/>
  <c r="I539" i="34"/>
  <c r="F540" i="34"/>
  <c r="I540" i="34"/>
  <c r="F541" i="34"/>
  <c r="I541" i="34"/>
  <c r="F542" i="34"/>
  <c r="I542" i="34"/>
  <c r="F543" i="34"/>
  <c r="I543" i="34"/>
  <c r="F544" i="34"/>
  <c r="I544" i="34"/>
  <c r="F545" i="34"/>
  <c r="I545" i="34"/>
  <c r="F546" i="34"/>
  <c r="I546" i="34"/>
  <c r="F547" i="34"/>
  <c r="I547" i="34"/>
  <c r="F548" i="34"/>
  <c r="I548" i="34"/>
  <c r="F549" i="34"/>
  <c r="I549" i="34"/>
  <c r="F550" i="34"/>
  <c r="I550" i="34"/>
  <c r="F378" i="34"/>
  <c r="I378" i="34"/>
  <c r="F379" i="34"/>
  <c r="I379" i="34"/>
  <c r="F380" i="34"/>
  <c r="I380" i="34"/>
  <c r="F381" i="34"/>
  <c r="I381" i="34"/>
  <c r="F358" i="34"/>
  <c r="I358" i="34"/>
  <c r="F359" i="34"/>
  <c r="I359" i="34"/>
  <c r="F360" i="34"/>
  <c r="I360" i="34"/>
  <c r="F361" i="34"/>
  <c r="I361" i="34"/>
  <c r="F362" i="34"/>
  <c r="I362" i="34"/>
  <c r="F363" i="34"/>
  <c r="I363" i="34"/>
  <c r="F364" i="34"/>
  <c r="I364" i="34"/>
  <c r="F365" i="34"/>
  <c r="I365" i="34"/>
  <c r="F366" i="34"/>
  <c r="I366" i="34"/>
  <c r="F367" i="34"/>
  <c r="I367" i="34"/>
  <c r="F368" i="34"/>
  <c r="I368" i="34"/>
  <c r="F369" i="34"/>
  <c r="I369" i="34"/>
  <c r="F370" i="34"/>
  <c r="I370" i="34"/>
  <c r="F371" i="34"/>
  <c r="I371" i="34"/>
  <c r="F372" i="34"/>
  <c r="I372" i="34"/>
  <c r="F373" i="34"/>
  <c r="I373" i="34"/>
  <c r="F374" i="34"/>
  <c r="I374" i="34"/>
  <c r="F375" i="34"/>
  <c r="I375" i="34"/>
  <c r="F376" i="34"/>
  <c r="I376" i="34"/>
  <c r="F377" i="34"/>
  <c r="I377" i="34"/>
  <c r="E71" i="6" l="1"/>
  <c r="E36" i="6"/>
  <c r="D103" i="12" l="1"/>
  <c r="E96" i="29" l="1"/>
  <c r="D116" i="30" l="1"/>
  <c r="C116" i="30"/>
  <c r="O98" i="30"/>
  <c r="N116" i="30"/>
  <c r="M116" i="30"/>
  <c r="J116" i="30"/>
  <c r="I116" i="30"/>
  <c r="G116" i="30"/>
  <c r="E116" i="30"/>
  <c r="L116" i="30"/>
  <c r="K116" i="30"/>
  <c r="H116" i="30"/>
  <c r="F116" i="30"/>
  <c r="C21" i="30"/>
  <c r="O114" i="30" l="1"/>
  <c r="E106" i="29" s="1"/>
  <c r="E70" i="35"/>
  <c r="E74" i="35"/>
  <c r="C74" i="35"/>
  <c r="M12" i="21"/>
  <c r="B45" i="40"/>
  <c r="I7" i="37" l="1"/>
  <c r="L7" i="37"/>
  <c r="I8" i="37"/>
  <c r="L8" i="37"/>
  <c r="I9" i="37"/>
  <c r="L9" i="37"/>
  <c r="I10" i="37"/>
  <c r="L10" i="37"/>
  <c r="I529" i="34" l="1"/>
  <c r="F529" i="34"/>
  <c r="I528" i="34"/>
  <c r="F528" i="34"/>
  <c r="I527" i="34"/>
  <c r="F527" i="34"/>
  <c r="I526" i="34"/>
  <c r="F526" i="34"/>
  <c r="I525" i="34"/>
  <c r="F525" i="34"/>
  <c r="I524" i="34"/>
  <c r="F524" i="34"/>
  <c r="I523" i="34"/>
  <c r="F523" i="34"/>
  <c r="I522" i="34"/>
  <c r="F522" i="34"/>
  <c r="I521" i="34"/>
  <c r="F521" i="34"/>
  <c r="I520" i="34"/>
  <c r="F520" i="34"/>
  <c r="I519" i="34"/>
  <c r="F519" i="34"/>
  <c r="I518" i="34"/>
  <c r="F518" i="34"/>
  <c r="I517" i="34"/>
  <c r="F517" i="34"/>
  <c r="I516" i="34"/>
  <c r="F516" i="34"/>
  <c r="I515" i="34"/>
  <c r="F515" i="34"/>
  <c r="I514" i="34"/>
  <c r="F514" i="34"/>
  <c r="I513" i="34"/>
  <c r="F513" i="34"/>
  <c r="I512" i="34"/>
  <c r="F512" i="34"/>
  <c r="I511" i="34"/>
  <c r="F511" i="34"/>
  <c r="I510" i="34"/>
  <c r="F510" i="34"/>
  <c r="I509" i="34"/>
  <c r="F509" i="34"/>
  <c r="I508" i="34"/>
  <c r="F508" i="34"/>
  <c r="I507" i="34"/>
  <c r="F507" i="34"/>
  <c r="I506" i="34"/>
  <c r="F506" i="34"/>
  <c r="I505" i="34"/>
  <c r="F505" i="34"/>
  <c r="I504" i="34"/>
  <c r="F504" i="34"/>
  <c r="I503" i="34"/>
  <c r="F503" i="34"/>
  <c r="I502" i="34"/>
  <c r="F502" i="34"/>
  <c r="I501" i="34"/>
  <c r="F501" i="34"/>
  <c r="I500" i="34"/>
  <c r="F500" i="34"/>
  <c r="I499" i="34"/>
  <c r="F499" i="34"/>
  <c r="I498" i="34"/>
  <c r="F498" i="34"/>
  <c r="I497" i="34"/>
  <c r="F497" i="34"/>
  <c r="I496" i="34"/>
  <c r="F496" i="34"/>
  <c r="I495" i="34"/>
  <c r="F495" i="34"/>
  <c r="I494" i="34"/>
  <c r="F494" i="34"/>
  <c r="I493" i="34"/>
  <c r="F493" i="34"/>
  <c r="I492" i="34"/>
  <c r="F492" i="34"/>
  <c r="I491" i="34"/>
  <c r="F491" i="34"/>
  <c r="I490" i="34"/>
  <c r="F490" i="34"/>
  <c r="I489" i="34"/>
  <c r="F489" i="34"/>
  <c r="I488" i="34"/>
  <c r="F488" i="34"/>
  <c r="I487" i="34"/>
  <c r="F487" i="34"/>
  <c r="I486" i="34"/>
  <c r="F486" i="34"/>
  <c r="I485" i="34"/>
  <c r="F485" i="34"/>
  <c r="I484" i="34"/>
  <c r="F484" i="34"/>
  <c r="I483" i="34"/>
  <c r="F483" i="34"/>
  <c r="I482" i="34"/>
  <c r="F482" i="34"/>
  <c r="I481" i="34"/>
  <c r="F481" i="34"/>
  <c r="I480" i="34"/>
  <c r="F480" i="34"/>
  <c r="I479" i="34"/>
  <c r="F479" i="34"/>
  <c r="I478" i="34"/>
  <c r="F478" i="34"/>
  <c r="I477" i="34"/>
  <c r="F477" i="34"/>
  <c r="I476" i="34"/>
  <c r="F476" i="34"/>
  <c r="I475" i="34"/>
  <c r="F475" i="34"/>
  <c r="I474" i="34"/>
  <c r="F474" i="34"/>
  <c r="I473" i="34"/>
  <c r="F473" i="34"/>
  <c r="I472" i="34"/>
  <c r="F472" i="34"/>
  <c r="I471" i="34"/>
  <c r="F471" i="34"/>
  <c r="I470" i="34"/>
  <c r="F470" i="34"/>
  <c r="I469" i="34"/>
  <c r="F469" i="34"/>
  <c r="I468" i="34"/>
  <c r="F468" i="34"/>
  <c r="I467" i="34"/>
  <c r="F467" i="34"/>
  <c r="I466" i="34"/>
  <c r="F466" i="34"/>
  <c r="I465" i="34"/>
  <c r="F465" i="34"/>
  <c r="I464" i="34"/>
  <c r="F464" i="34"/>
  <c r="I463" i="34"/>
  <c r="F463" i="34"/>
  <c r="I462" i="34"/>
  <c r="F462" i="34"/>
  <c r="I461" i="34"/>
  <c r="F461" i="34"/>
  <c r="I460" i="34"/>
  <c r="F460" i="34"/>
  <c r="I459" i="34"/>
  <c r="F459" i="34"/>
  <c r="I458" i="34"/>
  <c r="F458" i="34"/>
  <c r="I457" i="34"/>
  <c r="F457" i="34"/>
  <c r="I456" i="34"/>
  <c r="F456" i="34"/>
  <c r="I455" i="34"/>
  <c r="F455" i="34"/>
  <c r="I454" i="34"/>
  <c r="F454" i="34"/>
  <c r="I453" i="34"/>
  <c r="F453" i="34"/>
  <c r="I452" i="34"/>
  <c r="F452" i="34"/>
  <c r="I451" i="34"/>
  <c r="F451" i="34"/>
  <c r="I450" i="34"/>
  <c r="F450" i="34"/>
  <c r="I449" i="34"/>
  <c r="F449" i="34"/>
  <c r="I448" i="34"/>
  <c r="F448" i="34"/>
  <c r="I447" i="34"/>
  <c r="F447" i="34"/>
  <c r="I446" i="34"/>
  <c r="F446" i="34"/>
  <c r="I445" i="34"/>
  <c r="F445" i="34"/>
  <c r="I444" i="34"/>
  <c r="F444" i="34"/>
  <c r="I443" i="34"/>
  <c r="F443" i="34"/>
  <c r="I442" i="34"/>
  <c r="F442" i="34"/>
  <c r="I441" i="34"/>
  <c r="F441" i="34"/>
  <c r="I440" i="34"/>
  <c r="F440" i="34"/>
  <c r="I439" i="34"/>
  <c r="F439" i="34"/>
  <c r="I438" i="34"/>
  <c r="F438" i="34"/>
  <c r="I437" i="34"/>
  <c r="F437" i="34"/>
  <c r="I436" i="34"/>
  <c r="F436" i="34"/>
  <c r="I435" i="34"/>
  <c r="F435" i="34"/>
  <c r="I434" i="34"/>
  <c r="F434" i="34"/>
  <c r="I433" i="34"/>
  <c r="F433" i="34"/>
  <c r="I432" i="34"/>
  <c r="F432" i="34"/>
  <c r="I431" i="34"/>
  <c r="F431" i="34"/>
  <c r="I430" i="34"/>
  <c r="F430" i="34"/>
  <c r="I429" i="34"/>
  <c r="F429" i="34"/>
  <c r="I428" i="34"/>
  <c r="F428" i="34"/>
  <c r="I427" i="34"/>
  <c r="F427" i="34"/>
  <c r="I426" i="34"/>
  <c r="F426" i="34"/>
  <c r="I425" i="34"/>
  <c r="F425" i="34"/>
  <c r="I424" i="34"/>
  <c r="F424" i="34"/>
  <c r="I423" i="34"/>
  <c r="F423" i="34"/>
  <c r="I422" i="34"/>
  <c r="F422" i="34"/>
  <c r="I421" i="34"/>
  <c r="F421" i="34"/>
  <c r="I420" i="34"/>
  <c r="F420" i="34"/>
  <c r="I419" i="34"/>
  <c r="F419" i="34"/>
  <c r="I418" i="34"/>
  <c r="F418" i="34"/>
  <c r="I417" i="34"/>
  <c r="F417" i="34"/>
  <c r="I416" i="34"/>
  <c r="F416" i="34"/>
  <c r="I415" i="34"/>
  <c r="F415" i="34"/>
  <c r="I414" i="34"/>
  <c r="F414" i="34"/>
  <c r="I413" i="34"/>
  <c r="F413" i="34"/>
  <c r="I412" i="34"/>
  <c r="F412" i="34"/>
  <c r="I411" i="34"/>
  <c r="F411" i="34"/>
  <c r="I410" i="34"/>
  <c r="F410" i="34"/>
  <c r="I409" i="34"/>
  <c r="F409" i="34"/>
  <c r="I408" i="34"/>
  <c r="F408" i="34"/>
  <c r="I407" i="34"/>
  <c r="F407" i="34"/>
  <c r="I406" i="34"/>
  <c r="F406" i="34"/>
  <c r="I405" i="34"/>
  <c r="F405" i="34"/>
  <c r="I404" i="34"/>
  <c r="F404" i="34"/>
  <c r="I403" i="34"/>
  <c r="F403" i="34"/>
  <c r="I402" i="34"/>
  <c r="F402" i="34"/>
  <c r="I401" i="34"/>
  <c r="F401" i="34"/>
  <c r="I400" i="34"/>
  <c r="F400" i="34"/>
  <c r="I399" i="34"/>
  <c r="F399" i="34"/>
  <c r="I398" i="34"/>
  <c r="F398" i="34"/>
  <c r="I397" i="34"/>
  <c r="K397" i="34" s="1"/>
  <c r="F397" i="34"/>
  <c r="C397" i="34"/>
  <c r="G397" i="34" s="1"/>
  <c r="I357" i="34"/>
  <c r="F357" i="34"/>
  <c r="I356" i="34"/>
  <c r="F356" i="34"/>
  <c r="I355" i="34"/>
  <c r="F355" i="34"/>
  <c r="I354" i="34"/>
  <c r="F354" i="34"/>
  <c r="I353" i="34"/>
  <c r="F353" i="34"/>
  <c r="I352" i="34"/>
  <c r="F352" i="34"/>
  <c r="I351" i="34"/>
  <c r="F351" i="34"/>
  <c r="I350" i="34"/>
  <c r="F350" i="34"/>
  <c r="I349" i="34"/>
  <c r="F349" i="34"/>
  <c r="I348" i="34"/>
  <c r="F348" i="34"/>
  <c r="I347" i="34"/>
  <c r="F347" i="34"/>
  <c r="I346" i="34"/>
  <c r="F346" i="34"/>
  <c r="I345" i="34"/>
  <c r="F345" i="34"/>
  <c r="I344" i="34"/>
  <c r="F344" i="34"/>
  <c r="I343" i="34"/>
  <c r="F343" i="34"/>
  <c r="I342" i="34"/>
  <c r="F342" i="34"/>
  <c r="I341" i="34"/>
  <c r="F341" i="34"/>
  <c r="I340" i="34"/>
  <c r="F340" i="34"/>
  <c r="I339" i="34"/>
  <c r="F339" i="34"/>
  <c r="I338" i="34"/>
  <c r="F338" i="34"/>
  <c r="I337" i="34"/>
  <c r="F337" i="34"/>
  <c r="I336" i="34"/>
  <c r="F336" i="34"/>
  <c r="I335" i="34"/>
  <c r="F335" i="34"/>
  <c r="I334" i="34"/>
  <c r="F334" i="34"/>
  <c r="I333" i="34"/>
  <c r="F333" i="34"/>
  <c r="I332" i="34"/>
  <c r="F332" i="34"/>
  <c r="I331" i="34"/>
  <c r="F331" i="34"/>
  <c r="I330" i="34"/>
  <c r="F330" i="34"/>
  <c r="I329" i="34"/>
  <c r="F329" i="34"/>
  <c r="I328" i="34"/>
  <c r="F328" i="34"/>
  <c r="I327" i="34"/>
  <c r="F327" i="34"/>
  <c r="I326" i="34"/>
  <c r="F326" i="34"/>
  <c r="I325" i="34"/>
  <c r="F325" i="34"/>
  <c r="I324" i="34"/>
  <c r="F324" i="34"/>
  <c r="I323" i="34"/>
  <c r="F323" i="34"/>
  <c r="I322" i="34"/>
  <c r="F322" i="34"/>
  <c r="I321" i="34"/>
  <c r="F321" i="34"/>
  <c r="I320" i="34"/>
  <c r="F320" i="34"/>
  <c r="I319" i="34"/>
  <c r="F319" i="34"/>
  <c r="I318" i="34"/>
  <c r="F318" i="34"/>
  <c r="I317" i="34"/>
  <c r="F317" i="34"/>
  <c r="I316" i="34"/>
  <c r="F316" i="34"/>
  <c r="I315" i="34"/>
  <c r="F315" i="34"/>
  <c r="I314" i="34"/>
  <c r="F314" i="34"/>
  <c r="I313" i="34"/>
  <c r="F313" i="34"/>
  <c r="I312" i="34"/>
  <c r="F312" i="34"/>
  <c r="I311" i="34"/>
  <c r="F311" i="34"/>
  <c r="I310" i="34"/>
  <c r="F310" i="34"/>
  <c r="I309" i="34"/>
  <c r="F309" i="34"/>
  <c r="I308" i="34"/>
  <c r="F308" i="34"/>
  <c r="I307" i="34"/>
  <c r="F307" i="34"/>
  <c r="I306" i="34"/>
  <c r="F306" i="34"/>
  <c r="I305" i="34"/>
  <c r="F305" i="34"/>
  <c r="I304" i="34"/>
  <c r="F304" i="34"/>
  <c r="I303" i="34"/>
  <c r="F303" i="34"/>
  <c r="I302" i="34"/>
  <c r="F302" i="34"/>
  <c r="I301" i="34"/>
  <c r="F301" i="34"/>
  <c r="I300" i="34"/>
  <c r="F300" i="34"/>
  <c r="I299" i="34"/>
  <c r="F299" i="34"/>
  <c r="I298" i="34"/>
  <c r="F298" i="34"/>
  <c r="I297" i="34"/>
  <c r="F297" i="34"/>
  <c r="I296" i="34"/>
  <c r="F296" i="34"/>
  <c r="I295" i="34"/>
  <c r="F295" i="34"/>
  <c r="I294" i="34"/>
  <c r="F294" i="34"/>
  <c r="I293" i="34"/>
  <c r="F293" i="34"/>
  <c r="I292" i="34"/>
  <c r="F292" i="34"/>
  <c r="I291" i="34"/>
  <c r="F291" i="34"/>
  <c r="I290" i="34"/>
  <c r="F290" i="34"/>
  <c r="I289" i="34"/>
  <c r="F289" i="34"/>
  <c r="I288" i="34"/>
  <c r="F288" i="34"/>
  <c r="I287" i="34"/>
  <c r="F287" i="34"/>
  <c r="I286" i="34"/>
  <c r="F286" i="34"/>
  <c r="I285" i="34"/>
  <c r="F285" i="34"/>
  <c r="I284" i="34"/>
  <c r="F284" i="34"/>
  <c r="I283" i="34"/>
  <c r="F283" i="34"/>
  <c r="I282" i="34"/>
  <c r="F282" i="34"/>
  <c r="I281" i="34"/>
  <c r="F281" i="34"/>
  <c r="I280" i="34"/>
  <c r="F280" i="34"/>
  <c r="I279" i="34"/>
  <c r="F279" i="34"/>
  <c r="I278" i="34"/>
  <c r="F278" i="34"/>
  <c r="I277" i="34"/>
  <c r="F277" i="34"/>
  <c r="I276" i="34"/>
  <c r="F276" i="34"/>
  <c r="I275" i="34"/>
  <c r="F275" i="34"/>
  <c r="I274" i="34"/>
  <c r="F274" i="34"/>
  <c r="I273" i="34"/>
  <c r="F273" i="34"/>
  <c r="I272" i="34"/>
  <c r="F272" i="34"/>
  <c r="I271" i="34"/>
  <c r="F271" i="34"/>
  <c r="I270" i="34"/>
  <c r="F270" i="34"/>
  <c r="I269" i="34"/>
  <c r="F269" i="34"/>
  <c r="I268" i="34"/>
  <c r="F268" i="34"/>
  <c r="I267" i="34"/>
  <c r="F267" i="34"/>
  <c r="I266" i="34"/>
  <c r="F266" i="34"/>
  <c r="I265" i="34"/>
  <c r="F265" i="34"/>
  <c r="I264" i="34"/>
  <c r="F264" i="34"/>
  <c r="I263" i="34"/>
  <c r="F263" i="34"/>
  <c r="I262" i="34"/>
  <c r="F262" i="34"/>
  <c r="I261" i="34"/>
  <c r="F261" i="34"/>
  <c r="I260" i="34"/>
  <c r="F260" i="34"/>
  <c r="I259" i="34"/>
  <c r="F259" i="34"/>
  <c r="I258" i="34"/>
  <c r="F258" i="34"/>
  <c r="I257" i="34"/>
  <c r="F257" i="34"/>
  <c r="I256" i="34"/>
  <c r="F256" i="34"/>
  <c r="I255" i="34"/>
  <c r="F255" i="34"/>
  <c r="I254" i="34"/>
  <c r="F254" i="34"/>
  <c r="I253" i="34"/>
  <c r="F253" i="34"/>
  <c r="I252" i="34"/>
  <c r="F252" i="34"/>
  <c r="I251" i="34"/>
  <c r="F251" i="34"/>
  <c r="I250" i="34"/>
  <c r="F250" i="34"/>
  <c r="I249" i="34"/>
  <c r="F249" i="34"/>
  <c r="I248" i="34"/>
  <c r="F248" i="34"/>
  <c r="I247" i="34"/>
  <c r="F247" i="34"/>
  <c r="I246" i="34"/>
  <c r="F246" i="34"/>
  <c r="I245" i="34"/>
  <c r="F245" i="34"/>
  <c r="I244" i="34"/>
  <c r="F244" i="34"/>
  <c r="I243" i="34"/>
  <c r="F243" i="34"/>
  <c r="I242" i="34"/>
  <c r="F242" i="34"/>
  <c r="I241" i="34"/>
  <c r="F241" i="34"/>
  <c r="I240" i="34"/>
  <c r="F240" i="34"/>
  <c r="I239" i="34"/>
  <c r="F239" i="34"/>
  <c r="I238" i="34"/>
  <c r="F238" i="34"/>
  <c r="I237" i="34"/>
  <c r="F237" i="34"/>
  <c r="I236" i="34"/>
  <c r="F236" i="34"/>
  <c r="I235" i="34"/>
  <c r="F235" i="34"/>
  <c r="I234" i="34"/>
  <c r="F234" i="34"/>
  <c r="I233" i="34"/>
  <c r="F233" i="34"/>
  <c r="I232" i="34"/>
  <c r="F232" i="34"/>
  <c r="I231" i="34"/>
  <c r="F231" i="34"/>
  <c r="I230" i="34"/>
  <c r="F230" i="34"/>
  <c r="I229" i="34"/>
  <c r="F229" i="34"/>
  <c r="I228" i="34"/>
  <c r="F228" i="34"/>
  <c r="I227" i="34"/>
  <c r="F227" i="34"/>
  <c r="I226" i="34"/>
  <c r="F226" i="34"/>
  <c r="I225" i="34"/>
  <c r="J225" i="34" s="1"/>
  <c r="F225" i="34"/>
  <c r="C225" i="34"/>
  <c r="B41" i="34"/>
  <c r="B40" i="34"/>
  <c r="D32" i="34"/>
  <c r="C32" i="34"/>
  <c r="D31" i="34"/>
  <c r="C31" i="34"/>
  <c r="D30" i="34"/>
  <c r="C30" i="34"/>
  <c r="D29" i="34"/>
  <c r="C29" i="34"/>
  <c r="E29" i="34" s="1"/>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E19" i="34" l="1"/>
  <c r="E15" i="34"/>
  <c r="E21" i="34"/>
  <c r="I213" i="34"/>
  <c r="I217" i="34"/>
  <c r="I218" i="34"/>
  <c r="I212" i="34"/>
  <c r="I210" i="34"/>
  <c r="I211" i="34"/>
  <c r="I215" i="34"/>
  <c r="I219" i="34"/>
  <c r="I216" i="34"/>
  <c r="I214" i="34"/>
  <c r="I220" i="34"/>
  <c r="I209" i="34"/>
  <c r="K398" i="34"/>
  <c r="I172" i="34"/>
  <c r="I197" i="34"/>
  <c r="I205" i="34"/>
  <c r="I186" i="34"/>
  <c r="I194" i="34"/>
  <c r="I206" i="34"/>
  <c r="I191" i="34"/>
  <c r="I203" i="34"/>
  <c r="I188" i="34"/>
  <c r="I192" i="34"/>
  <c r="I196" i="34"/>
  <c r="I200" i="34"/>
  <c r="I204" i="34"/>
  <c r="I208" i="34"/>
  <c r="I185" i="34"/>
  <c r="I189" i="34"/>
  <c r="I193" i="34"/>
  <c r="I201" i="34"/>
  <c r="I190" i="34"/>
  <c r="I198" i="34"/>
  <c r="I195" i="34"/>
  <c r="I207" i="34"/>
  <c r="I202" i="34"/>
  <c r="I199" i="34"/>
  <c r="I187" i="34"/>
  <c r="J226" i="34"/>
  <c r="E7" i="34"/>
  <c r="G7" i="34" s="1"/>
  <c r="H7" i="34" s="1"/>
  <c r="E31" i="34"/>
  <c r="E28" i="34"/>
  <c r="E23" i="34"/>
  <c r="K399" i="34"/>
  <c r="K400" i="34" s="1"/>
  <c r="K401" i="34" s="1"/>
  <c r="K402" i="34" s="1"/>
  <c r="K403" i="34" s="1"/>
  <c r="K404" i="34" s="1"/>
  <c r="K405" i="34" s="1"/>
  <c r="K406" i="34" s="1"/>
  <c r="K407" i="34" s="1"/>
  <c r="K408" i="34" s="1"/>
  <c r="K409" i="34" s="1"/>
  <c r="K410" i="34" s="1"/>
  <c r="K411" i="34" s="1"/>
  <c r="K412" i="34" s="1"/>
  <c r="K413" i="34" s="1"/>
  <c r="K414" i="34" s="1"/>
  <c r="K415" i="34" s="1"/>
  <c r="K416" i="34" s="1"/>
  <c r="K417" i="34" s="1"/>
  <c r="K418" i="34" s="1"/>
  <c r="K419" i="34" s="1"/>
  <c r="K420" i="34" s="1"/>
  <c r="K421" i="34" s="1"/>
  <c r="K422" i="34" s="1"/>
  <c r="K423" i="34" s="1"/>
  <c r="K424" i="34" s="1"/>
  <c r="K425" i="34" s="1"/>
  <c r="K426" i="34" s="1"/>
  <c r="K427" i="34" s="1"/>
  <c r="K428" i="34" s="1"/>
  <c r="K429" i="34" s="1"/>
  <c r="K430" i="34" s="1"/>
  <c r="K431" i="34" s="1"/>
  <c r="K432" i="34" s="1"/>
  <c r="K433" i="34" s="1"/>
  <c r="K434" i="34" s="1"/>
  <c r="K435" i="34" s="1"/>
  <c r="K436" i="34" s="1"/>
  <c r="K437" i="34" s="1"/>
  <c r="K438" i="34" s="1"/>
  <c r="K439" i="34" s="1"/>
  <c r="K440" i="34" s="1"/>
  <c r="K441" i="34" s="1"/>
  <c r="K442" i="34" s="1"/>
  <c r="K443" i="34" s="1"/>
  <c r="K444" i="34" s="1"/>
  <c r="K445" i="34" s="1"/>
  <c r="K446" i="34" s="1"/>
  <c r="K447" i="34" s="1"/>
  <c r="K448" i="34" s="1"/>
  <c r="K449" i="34" s="1"/>
  <c r="K450" i="34" s="1"/>
  <c r="K451" i="34" s="1"/>
  <c r="K452" i="34" s="1"/>
  <c r="K453" i="34" s="1"/>
  <c r="K454" i="34" s="1"/>
  <c r="K455" i="34" s="1"/>
  <c r="K456" i="34" s="1"/>
  <c r="K457" i="34" s="1"/>
  <c r="K458" i="34" s="1"/>
  <c r="K459" i="34" s="1"/>
  <c r="K460" i="34" s="1"/>
  <c r="K461" i="34" s="1"/>
  <c r="K462" i="34" s="1"/>
  <c r="K463" i="34" s="1"/>
  <c r="K464" i="34" s="1"/>
  <c r="K465" i="34" s="1"/>
  <c r="K466" i="34" s="1"/>
  <c r="K467" i="34" s="1"/>
  <c r="K468" i="34" s="1"/>
  <c r="K469" i="34" s="1"/>
  <c r="K470" i="34" s="1"/>
  <c r="K471" i="34" s="1"/>
  <c r="K472" i="34" s="1"/>
  <c r="K473" i="34" s="1"/>
  <c r="K474" i="34" s="1"/>
  <c r="K475" i="34" s="1"/>
  <c r="K476" i="34" s="1"/>
  <c r="K477" i="34" s="1"/>
  <c r="K478" i="34" s="1"/>
  <c r="K479" i="34" s="1"/>
  <c r="K480" i="34" s="1"/>
  <c r="K481" i="34" s="1"/>
  <c r="K482" i="34" s="1"/>
  <c r="K483" i="34" s="1"/>
  <c r="K484" i="34" s="1"/>
  <c r="K485" i="34" s="1"/>
  <c r="K486" i="34" s="1"/>
  <c r="K487" i="34" s="1"/>
  <c r="K488" i="34" s="1"/>
  <c r="K489" i="34" s="1"/>
  <c r="K490" i="34" s="1"/>
  <c r="K491" i="34" s="1"/>
  <c r="K492" i="34" s="1"/>
  <c r="K493" i="34" s="1"/>
  <c r="K494" i="34" s="1"/>
  <c r="K495" i="34" s="1"/>
  <c r="K496" i="34" s="1"/>
  <c r="K497" i="34" s="1"/>
  <c r="K498" i="34" s="1"/>
  <c r="K499" i="34" s="1"/>
  <c r="K500" i="34" s="1"/>
  <c r="K501" i="34" s="1"/>
  <c r="K502" i="34" s="1"/>
  <c r="K503" i="34" s="1"/>
  <c r="K504" i="34" s="1"/>
  <c r="K505" i="34" s="1"/>
  <c r="K506" i="34" s="1"/>
  <c r="K507" i="34" s="1"/>
  <c r="K508" i="34" s="1"/>
  <c r="K509" i="34" s="1"/>
  <c r="K510" i="34" s="1"/>
  <c r="K511" i="34" s="1"/>
  <c r="K512" i="34" s="1"/>
  <c r="K513" i="34" s="1"/>
  <c r="K514" i="34" s="1"/>
  <c r="K515" i="34" s="1"/>
  <c r="K516" i="34" s="1"/>
  <c r="K517" i="34" s="1"/>
  <c r="K518" i="34" s="1"/>
  <c r="K519" i="34" s="1"/>
  <c r="K520" i="34" s="1"/>
  <c r="K521" i="34" s="1"/>
  <c r="K522" i="34" s="1"/>
  <c r="K523" i="34" s="1"/>
  <c r="K524" i="34" s="1"/>
  <c r="K525" i="34" s="1"/>
  <c r="K526" i="34" s="1"/>
  <c r="K527" i="34" s="1"/>
  <c r="K528" i="34" s="1"/>
  <c r="K529" i="34" s="1"/>
  <c r="K530" i="34" s="1"/>
  <c r="K531" i="34" s="1"/>
  <c r="K532" i="34" s="1"/>
  <c r="K533" i="34" s="1"/>
  <c r="K534" i="34" s="1"/>
  <c r="K535" i="34" s="1"/>
  <c r="K536" i="34" s="1"/>
  <c r="K537" i="34" s="1"/>
  <c r="K538" i="34" s="1"/>
  <c r="K539" i="34" s="1"/>
  <c r="K540" i="34" s="1"/>
  <c r="K541" i="34" s="1"/>
  <c r="K542" i="34" s="1"/>
  <c r="K543" i="34" s="1"/>
  <c r="K544" i="34" s="1"/>
  <c r="K545" i="34" s="1"/>
  <c r="K546" i="34" s="1"/>
  <c r="K547" i="34" s="1"/>
  <c r="K548" i="34" s="1"/>
  <c r="K549" i="34" s="1"/>
  <c r="K550" i="34" s="1"/>
  <c r="K551" i="34" s="1"/>
  <c r="K552" i="34" s="1"/>
  <c r="K553" i="34" s="1"/>
  <c r="E14" i="34"/>
  <c r="E20" i="34"/>
  <c r="E8" i="34"/>
  <c r="D397" i="34"/>
  <c r="E397" i="34" s="1"/>
  <c r="H397" i="34" s="1"/>
  <c r="E32" i="34"/>
  <c r="E27" i="34"/>
  <c r="J397" i="34"/>
  <c r="J398" i="34" s="1"/>
  <c r="J399" i="34" s="1"/>
  <c r="J400" i="34" s="1"/>
  <c r="J401" i="34" s="1"/>
  <c r="J402" i="34" s="1"/>
  <c r="J403" i="34" s="1"/>
  <c r="J404" i="34" s="1"/>
  <c r="J405" i="34" s="1"/>
  <c r="J406" i="34" s="1"/>
  <c r="J407" i="34" s="1"/>
  <c r="J408" i="34" s="1"/>
  <c r="J409" i="34" s="1"/>
  <c r="J410" i="34" s="1"/>
  <c r="J411" i="34" s="1"/>
  <c r="J412" i="34" s="1"/>
  <c r="J413" i="34" s="1"/>
  <c r="J414" i="34" s="1"/>
  <c r="J415" i="34" s="1"/>
  <c r="J416" i="34" s="1"/>
  <c r="J417" i="34" s="1"/>
  <c r="J418" i="34" s="1"/>
  <c r="J419" i="34" s="1"/>
  <c r="J420" i="34" s="1"/>
  <c r="J421" i="34" s="1"/>
  <c r="J422" i="34" s="1"/>
  <c r="J423" i="34" s="1"/>
  <c r="J424" i="34" s="1"/>
  <c r="J425" i="34" s="1"/>
  <c r="J426" i="34" s="1"/>
  <c r="J427" i="34" s="1"/>
  <c r="J428" i="34" s="1"/>
  <c r="J429" i="34" s="1"/>
  <c r="J430" i="34" s="1"/>
  <c r="J431" i="34" s="1"/>
  <c r="J432" i="34" s="1"/>
  <c r="J433" i="34" s="1"/>
  <c r="J434" i="34" s="1"/>
  <c r="J435" i="34" s="1"/>
  <c r="J436" i="34" s="1"/>
  <c r="J437" i="34" s="1"/>
  <c r="J438" i="34" s="1"/>
  <c r="J439" i="34" s="1"/>
  <c r="J440" i="34" s="1"/>
  <c r="J441" i="34" s="1"/>
  <c r="J442" i="34" s="1"/>
  <c r="J443" i="34" s="1"/>
  <c r="J444" i="34" s="1"/>
  <c r="J445" i="34" s="1"/>
  <c r="J446" i="34" s="1"/>
  <c r="J447" i="34" s="1"/>
  <c r="J448" i="34" s="1"/>
  <c r="J449" i="34" s="1"/>
  <c r="J450" i="34" s="1"/>
  <c r="J451" i="34" s="1"/>
  <c r="J452" i="34" s="1"/>
  <c r="J453" i="34" s="1"/>
  <c r="J454" i="34" s="1"/>
  <c r="J455" i="34" s="1"/>
  <c r="J456" i="34" s="1"/>
  <c r="J457" i="34" s="1"/>
  <c r="J458" i="34" s="1"/>
  <c r="J459" i="34" s="1"/>
  <c r="J460" i="34" s="1"/>
  <c r="J461" i="34" s="1"/>
  <c r="J462" i="34" s="1"/>
  <c r="J463" i="34" s="1"/>
  <c r="J464" i="34" s="1"/>
  <c r="J465" i="34" s="1"/>
  <c r="J466" i="34" s="1"/>
  <c r="J467" i="34" s="1"/>
  <c r="J468" i="34" s="1"/>
  <c r="J469" i="34" s="1"/>
  <c r="J470" i="34" s="1"/>
  <c r="J471" i="34" s="1"/>
  <c r="J472" i="34" s="1"/>
  <c r="J473" i="34" s="1"/>
  <c r="J474" i="34" s="1"/>
  <c r="J475" i="34" s="1"/>
  <c r="J476" i="34" s="1"/>
  <c r="J477" i="34" s="1"/>
  <c r="J478" i="34" s="1"/>
  <c r="J479" i="34" s="1"/>
  <c r="J480" i="34" s="1"/>
  <c r="J481" i="34" s="1"/>
  <c r="J482" i="34" s="1"/>
  <c r="J483" i="34" s="1"/>
  <c r="J484" i="34" s="1"/>
  <c r="J485" i="34" s="1"/>
  <c r="J486" i="34" s="1"/>
  <c r="J487" i="34" s="1"/>
  <c r="J488" i="34" s="1"/>
  <c r="J489" i="34" s="1"/>
  <c r="J490" i="34" s="1"/>
  <c r="J491" i="34" s="1"/>
  <c r="J492" i="34" s="1"/>
  <c r="J493" i="34" s="1"/>
  <c r="J494" i="34" s="1"/>
  <c r="J495" i="34" s="1"/>
  <c r="J496" i="34" s="1"/>
  <c r="J497" i="34" s="1"/>
  <c r="J498" i="34" s="1"/>
  <c r="J499" i="34" s="1"/>
  <c r="J500" i="34" s="1"/>
  <c r="J501" i="34" s="1"/>
  <c r="J502" i="34" s="1"/>
  <c r="J503" i="34" s="1"/>
  <c r="J504" i="34" s="1"/>
  <c r="J505" i="34" s="1"/>
  <c r="J506" i="34" s="1"/>
  <c r="J507" i="34" s="1"/>
  <c r="J508" i="34" s="1"/>
  <c r="J509" i="34" s="1"/>
  <c r="J510" i="34" s="1"/>
  <c r="J511" i="34" s="1"/>
  <c r="J512" i="34" s="1"/>
  <c r="J513" i="34" s="1"/>
  <c r="J514" i="34" s="1"/>
  <c r="J515" i="34" s="1"/>
  <c r="J516" i="34" s="1"/>
  <c r="J517" i="34" s="1"/>
  <c r="J518" i="34" s="1"/>
  <c r="J519" i="34" s="1"/>
  <c r="J520" i="34" s="1"/>
  <c r="J521" i="34" s="1"/>
  <c r="J522" i="34" s="1"/>
  <c r="J523" i="34" s="1"/>
  <c r="J524" i="34" s="1"/>
  <c r="J525" i="34" s="1"/>
  <c r="J526" i="34" s="1"/>
  <c r="J527" i="34" s="1"/>
  <c r="J528" i="34" s="1"/>
  <c r="J529" i="34" s="1"/>
  <c r="J530" i="34" s="1"/>
  <c r="J531" i="34" s="1"/>
  <c r="J532" i="34" s="1"/>
  <c r="J533" i="34" s="1"/>
  <c r="J534" i="34" s="1"/>
  <c r="J535" i="34" s="1"/>
  <c r="J536" i="34" s="1"/>
  <c r="J537" i="34" s="1"/>
  <c r="J538" i="34" s="1"/>
  <c r="J539" i="34" s="1"/>
  <c r="J540" i="34" s="1"/>
  <c r="J541" i="34" s="1"/>
  <c r="J542" i="34" s="1"/>
  <c r="J543" i="34" s="1"/>
  <c r="J544" i="34" s="1"/>
  <c r="J545" i="34" s="1"/>
  <c r="J546" i="34" s="1"/>
  <c r="J547" i="34" s="1"/>
  <c r="J548" i="34" s="1"/>
  <c r="J549" i="34" s="1"/>
  <c r="J550" i="34" s="1"/>
  <c r="J551" i="34" s="1"/>
  <c r="J552" i="34" s="1"/>
  <c r="J553" i="34" s="1"/>
  <c r="J227" i="34"/>
  <c r="J228" i="34" s="1"/>
  <c r="J229" i="34" s="1"/>
  <c r="J230" i="34" s="1"/>
  <c r="J231" i="34" s="1"/>
  <c r="J232" i="34" s="1"/>
  <c r="J233" i="34" s="1"/>
  <c r="J234" i="34" s="1"/>
  <c r="J235" i="34" s="1"/>
  <c r="J236" i="34" s="1"/>
  <c r="J237" i="34" s="1"/>
  <c r="J238" i="34" s="1"/>
  <c r="J239" i="34" s="1"/>
  <c r="J240" i="34" s="1"/>
  <c r="J241" i="34" s="1"/>
  <c r="J242" i="34" s="1"/>
  <c r="J243" i="34" s="1"/>
  <c r="J244" i="34" s="1"/>
  <c r="J245" i="34" s="1"/>
  <c r="J246" i="34" s="1"/>
  <c r="J247" i="34" s="1"/>
  <c r="J248" i="34" s="1"/>
  <c r="J249" i="34" s="1"/>
  <c r="J250" i="34" s="1"/>
  <c r="J251" i="34" s="1"/>
  <c r="J252" i="34" s="1"/>
  <c r="J253" i="34" s="1"/>
  <c r="J254" i="34" s="1"/>
  <c r="J255" i="34" s="1"/>
  <c r="J256" i="34" s="1"/>
  <c r="J257" i="34" s="1"/>
  <c r="J258" i="34" s="1"/>
  <c r="J259" i="34" s="1"/>
  <c r="J260" i="34" s="1"/>
  <c r="J261" i="34" s="1"/>
  <c r="J262" i="34" s="1"/>
  <c r="J263" i="34" s="1"/>
  <c r="J264" i="34" s="1"/>
  <c r="J265" i="34" s="1"/>
  <c r="J266" i="34" s="1"/>
  <c r="J267" i="34" s="1"/>
  <c r="J268" i="34" s="1"/>
  <c r="J269" i="34" s="1"/>
  <c r="J270" i="34" s="1"/>
  <c r="J271" i="34" s="1"/>
  <c r="J272" i="34" s="1"/>
  <c r="J273" i="34" s="1"/>
  <c r="J274" i="34" s="1"/>
  <c r="J275" i="34" s="1"/>
  <c r="J276" i="34" s="1"/>
  <c r="J277" i="34" s="1"/>
  <c r="J278" i="34" s="1"/>
  <c r="J279" i="34" s="1"/>
  <c r="J280" i="34" s="1"/>
  <c r="J281" i="34" s="1"/>
  <c r="J282" i="34" s="1"/>
  <c r="J283" i="34" s="1"/>
  <c r="J284" i="34" s="1"/>
  <c r="J285" i="34" s="1"/>
  <c r="J286" i="34" s="1"/>
  <c r="J287" i="34" s="1"/>
  <c r="J288" i="34" s="1"/>
  <c r="J289" i="34" s="1"/>
  <c r="J290" i="34" s="1"/>
  <c r="J291" i="34" s="1"/>
  <c r="J292" i="34" s="1"/>
  <c r="J293" i="34" s="1"/>
  <c r="J294" i="34" s="1"/>
  <c r="J295" i="34" s="1"/>
  <c r="J296" i="34" s="1"/>
  <c r="J297" i="34" s="1"/>
  <c r="J298" i="34" s="1"/>
  <c r="J299" i="34" s="1"/>
  <c r="J300" i="34" s="1"/>
  <c r="J301" i="34" s="1"/>
  <c r="J302" i="34" s="1"/>
  <c r="J303" i="34" s="1"/>
  <c r="J304" i="34" s="1"/>
  <c r="J305" i="34" s="1"/>
  <c r="J306" i="34" s="1"/>
  <c r="J307" i="34" s="1"/>
  <c r="J308" i="34" s="1"/>
  <c r="J309" i="34" s="1"/>
  <c r="J310" i="34" s="1"/>
  <c r="J311" i="34" s="1"/>
  <c r="J312" i="34" s="1"/>
  <c r="J313" i="34" s="1"/>
  <c r="J314" i="34" s="1"/>
  <c r="J315" i="34" s="1"/>
  <c r="J316" i="34" s="1"/>
  <c r="J317" i="34" s="1"/>
  <c r="J318" i="34" s="1"/>
  <c r="J319" i="34" s="1"/>
  <c r="J320" i="34" s="1"/>
  <c r="J321" i="34" s="1"/>
  <c r="J322" i="34" s="1"/>
  <c r="J323" i="34" s="1"/>
  <c r="J324" i="34" s="1"/>
  <c r="J325" i="34" s="1"/>
  <c r="J326" i="34" s="1"/>
  <c r="J327" i="34" s="1"/>
  <c r="J328" i="34" s="1"/>
  <c r="J329" i="34" s="1"/>
  <c r="J330" i="34" s="1"/>
  <c r="J331" i="34" s="1"/>
  <c r="J332" i="34" s="1"/>
  <c r="J333" i="34" s="1"/>
  <c r="J334" i="34" s="1"/>
  <c r="J335" i="34" s="1"/>
  <c r="J336" i="34" s="1"/>
  <c r="J337" i="34" s="1"/>
  <c r="J338" i="34" s="1"/>
  <c r="J339" i="34" s="1"/>
  <c r="J340" i="34" s="1"/>
  <c r="J341" i="34" s="1"/>
  <c r="J342" i="34" s="1"/>
  <c r="J343" i="34" s="1"/>
  <c r="J344" i="34" s="1"/>
  <c r="J345" i="34" s="1"/>
  <c r="J346" i="34" s="1"/>
  <c r="J347" i="34" s="1"/>
  <c r="J348" i="34" s="1"/>
  <c r="J349" i="34" s="1"/>
  <c r="J350" i="34" s="1"/>
  <c r="J351" i="34" s="1"/>
  <c r="J352" i="34" s="1"/>
  <c r="J353" i="34" s="1"/>
  <c r="J354" i="34" s="1"/>
  <c r="J355" i="34" s="1"/>
  <c r="J356" i="34" s="1"/>
  <c r="J357" i="34" s="1"/>
  <c r="J358" i="34" s="1"/>
  <c r="J359" i="34" s="1"/>
  <c r="J360" i="34" s="1"/>
  <c r="J361" i="34" s="1"/>
  <c r="J362" i="34" s="1"/>
  <c r="J363" i="34" s="1"/>
  <c r="J364" i="34" s="1"/>
  <c r="J365" i="34" s="1"/>
  <c r="J366" i="34" s="1"/>
  <c r="J367" i="34" s="1"/>
  <c r="J368" i="34" s="1"/>
  <c r="J369" i="34" s="1"/>
  <c r="J370" i="34" s="1"/>
  <c r="J371" i="34" s="1"/>
  <c r="J372" i="34" s="1"/>
  <c r="J373" i="34" s="1"/>
  <c r="J374" i="34" s="1"/>
  <c r="J375" i="34" s="1"/>
  <c r="J376" i="34" s="1"/>
  <c r="J377" i="34" s="1"/>
  <c r="J378" i="34" s="1"/>
  <c r="J379" i="34" s="1"/>
  <c r="J380" i="34" s="1"/>
  <c r="J381" i="34" s="1"/>
  <c r="J382" i="34" s="1"/>
  <c r="J383" i="34" s="1"/>
  <c r="J384" i="34" s="1"/>
  <c r="J385" i="34" s="1"/>
  <c r="J386" i="34" s="1"/>
  <c r="J387" i="34" s="1"/>
  <c r="J388" i="34" s="1"/>
  <c r="J389" i="34" s="1"/>
  <c r="J390" i="34" s="1"/>
  <c r="J391" i="34" s="1"/>
  <c r="J392" i="34" s="1"/>
  <c r="J393" i="34" s="1"/>
  <c r="I81" i="34"/>
  <c r="C398" i="34"/>
  <c r="C399" i="34" s="1"/>
  <c r="E17" i="34"/>
  <c r="E11" i="34"/>
  <c r="E12" i="34"/>
  <c r="E18" i="34"/>
  <c r="K225" i="34"/>
  <c r="K226" i="34" s="1"/>
  <c r="K227" i="34" s="1"/>
  <c r="K228" i="34" s="1"/>
  <c r="K229" i="34" s="1"/>
  <c r="K230" i="34" s="1"/>
  <c r="K231" i="34" s="1"/>
  <c r="K232" i="34" s="1"/>
  <c r="K233" i="34" s="1"/>
  <c r="K234" i="34" s="1"/>
  <c r="K235" i="34" s="1"/>
  <c r="K236" i="34" s="1"/>
  <c r="K237" i="34" s="1"/>
  <c r="K238" i="34" s="1"/>
  <c r="K239" i="34" s="1"/>
  <c r="K240" i="34" s="1"/>
  <c r="K241" i="34" s="1"/>
  <c r="K242" i="34" s="1"/>
  <c r="K243" i="34" s="1"/>
  <c r="K244" i="34" s="1"/>
  <c r="K245" i="34" s="1"/>
  <c r="K246" i="34" s="1"/>
  <c r="K247" i="34" s="1"/>
  <c r="K248" i="34" s="1"/>
  <c r="K249" i="34" s="1"/>
  <c r="K250" i="34" s="1"/>
  <c r="K251" i="34" s="1"/>
  <c r="K252" i="34" s="1"/>
  <c r="K253" i="34" s="1"/>
  <c r="K254" i="34" s="1"/>
  <c r="K255" i="34" s="1"/>
  <c r="K256" i="34" s="1"/>
  <c r="K257" i="34" s="1"/>
  <c r="K258" i="34" s="1"/>
  <c r="K259" i="34" s="1"/>
  <c r="K260" i="34" s="1"/>
  <c r="K261" i="34" s="1"/>
  <c r="K262" i="34" s="1"/>
  <c r="K263" i="34" s="1"/>
  <c r="K264" i="34" s="1"/>
  <c r="K265" i="34" s="1"/>
  <c r="K266" i="34" s="1"/>
  <c r="K267" i="34" s="1"/>
  <c r="K268" i="34" s="1"/>
  <c r="K269" i="34" s="1"/>
  <c r="K270" i="34" s="1"/>
  <c r="K271" i="34" s="1"/>
  <c r="K272" i="34" s="1"/>
  <c r="K273" i="34" s="1"/>
  <c r="K274" i="34" s="1"/>
  <c r="K275" i="34" s="1"/>
  <c r="K276" i="34" s="1"/>
  <c r="K277" i="34" s="1"/>
  <c r="K278" i="34" s="1"/>
  <c r="K279" i="34" s="1"/>
  <c r="K280" i="34" s="1"/>
  <c r="K281" i="34" s="1"/>
  <c r="K282" i="34" s="1"/>
  <c r="K283" i="34" s="1"/>
  <c r="K284" i="34" s="1"/>
  <c r="K285" i="34" s="1"/>
  <c r="K286" i="34" s="1"/>
  <c r="K287" i="34" s="1"/>
  <c r="K288" i="34" s="1"/>
  <c r="K289" i="34" s="1"/>
  <c r="K290" i="34" s="1"/>
  <c r="K291" i="34" s="1"/>
  <c r="K292" i="34" s="1"/>
  <c r="K293" i="34" s="1"/>
  <c r="K294" i="34" s="1"/>
  <c r="K295" i="34" s="1"/>
  <c r="K296" i="34" s="1"/>
  <c r="K297" i="34" s="1"/>
  <c r="K298" i="34" s="1"/>
  <c r="K299" i="34" s="1"/>
  <c r="K300" i="34" s="1"/>
  <c r="K301" i="34" s="1"/>
  <c r="K302" i="34" s="1"/>
  <c r="K303" i="34" s="1"/>
  <c r="K304" i="34" s="1"/>
  <c r="K305" i="34" s="1"/>
  <c r="K306" i="34" s="1"/>
  <c r="K307" i="34" s="1"/>
  <c r="K308" i="34" s="1"/>
  <c r="K309" i="34" s="1"/>
  <c r="K310" i="34" s="1"/>
  <c r="K311" i="34" s="1"/>
  <c r="K312" i="34" s="1"/>
  <c r="K313" i="34" s="1"/>
  <c r="K314" i="34" s="1"/>
  <c r="K315" i="34" s="1"/>
  <c r="K316" i="34" s="1"/>
  <c r="K317" i="34" s="1"/>
  <c r="K318" i="34" s="1"/>
  <c r="K319" i="34" s="1"/>
  <c r="K320" i="34" s="1"/>
  <c r="K321" i="34" s="1"/>
  <c r="K322" i="34" s="1"/>
  <c r="K323" i="34" s="1"/>
  <c r="K324" i="34" s="1"/>
  <c r="K325" i="34" s="1"/>
  <c r="K326" i="34" s="1"/>
  <c r="K327" i="34" s="1"/>
  <c r="K328" i="34" s="1"/>
  <c r="K329" i="34" s="1"/>
  <c r="K330" i="34" s="1"/>
  <c r="K331" i="34" s="1"/>
  <c r="K332" i="34" s="1"/>
  <c r="K333" i="34" s="1"/>
  <c r="K334" i="34" s="1"/>
  <c r="K335" i="34" s="1"/>
  <c r="K336" i="34" s="1"/>
  <c r="K337" i="34" s="1"/>
  <c r="K338" i="34" s="1"/>
  <c r="K339" i="34" s="1"/>
  <c r="K340" i="34" s="1"/>
  <c r="K341" i="34" s="1"/>
  <c r="K342" i="34" s="1"/>
  <c r="K343" i="34" s="1"/>
  <c r="K344" i="34" s="1"/>
  <c r="K345" i="34" s="1"/>
  <c r="K346" i="34" s="1"/>
  <c r="K347" i="34" s="1"/>
  <c r="K348" i="34" s="1"/>
  <c r="K349" i="34" s="1"/>
  <c r="K350" i="34" s="1"/>
  <c r="K351" i="34" s="1"/>
  <c r="K352" i="34" s="1"/>
  <c r="K353" i="34" s="1"/>
  <c r="K354" i="34" s="1"/>
  <c r="K355" i="34" s="1"/>
  <c r="K356" i="34" s="1"/>
  <c r="K357" i="34" s="1"/>
  <c r="K358" i="34" s="1"/>
  <c r="K359" i="34" s="1"/>
  <c r="K360" i="34" s="1"/>
  <c r="K361" i="34" s="1"/>
  <c r="K362" i="34" s="1"/>
  <c r="K363" i="34" s="1"/>
  <c r="K364" i="34" s="1"/>
  <c r="K365" i="34" s="1"/>
  <c r="K366" i="34" s="1"/>
  <c r="K367" i="34" s="1"/>
  <c r="K368" i="34" s="1"/>
  <c r="K369" i="34" s="1"/>
  <c r="K370" i="34" s="1"/>
  <c r="K371" i="34" s="1"/>
  <c r="K372" i="34" s="1"/>
  <c r="K373" i="34" s="1"/>
  <c r="K374" i="34" s="1"/>
  <c r="K375" i="34" s="1"/>
  <c r="K376" i="34" s="1"/>
  <c r="K377" i="34" s="1"/>
  <c r="K378" i="34" s="1"/>
  <c r="K379" i="34" s="1"/>
  <c r="K380" i="34" s="1"/>
  <c r="K381" i="34" s="1"/>
  <c r="K382" i="34" s="1"/>
  <c r="K383" i="34" s="1"/>
  <c r="K384" i="34" s="1"/>
  <c r="K385" i="34" s="1"/>
  <c r="K386" i="34" s="1"/>
  <c r="K387" i="34" s="1"/>
  <c r="K388" i="34" s="1"/>
  <c r="K389" i="34" s="1"/>
  <c r="K390" i="34" s="1"/>
  <c r="K391" i="34" s="1"/>
  <c r="K392" i="34" s="1"/>
  <c r="K393" i="34" s="1"/>
  <c r="E13" i="34"/>
  <c r="I84" i="34"/>
  <c r="I87" i="34"/>
  <c r="I103" i="34"/>
  <c r="I130" i="34"/>
  <c r="I56" i="34"/>
  <c r="I60" i="34"/>
  <c r="I66" i="34"/>
  <c r="I70" i="34"/>
  <c r="I48" i="34"/>
  <c r="I76" i="34"/>
  <c r="I77" i="34"/>
  <c r="I52" i="34"/>
  <c r="I152" i="34"/>
  <c r="I80" i="34"/>
  <c r="E24" i="34"/>
  <c r="E30" i="34"/>
  <c r="E10" i="34"/>
  <c r="E25" i="34"/>
  <c r="D33" i="34"/>
  <c r="E26" i="34"/>
  <c r="C33" i="34"/>
  <c r="E16" i="34"/>
  <c r="E22" i="34"/>
  <c r="E9" i="34"/>
  <c r="I67" i="34"/>
  <c r="I78" i="34"/>
  <c r="I85" i="34"/>
  <c r="I144" i="34"/>
  <c r="I183" i="34"/>
  <c r="I179" i="34"/>
  <c r="I175" i="34"/>
  <c r="I171" i="34"/>
  <c r="I167" i="34"/>
  <c r="I163" i="34"/>
  <c r="I159" i="34"/>
  <c r="I182" i="34"/>
  <c r="I178" i="34"/>
  <c r="I174" i="34"/>
  <c r="I170" i="34"/>
  <c r="I166" i="34"/>
  <c r="I162" i="34"/>
  <c r="I181" i="34"/>
  <c r="I177" i="34"/>
  <c r="I173" i="34"/>
  <c r="I169" i="34"/>
  <c r="I165" i="34"/>
  <c r="I161" i="34"/>
  <c r="I176" i="34"/>
  <c r="I180" i="34"/>
  <c r="I155" i="34"/>
  <c r="I151" i="34"/>
  <c r="I147" i="34"/>
  <c r="I143" i="34"/>
  <c r="I139" i="34"/>
  <c r="I135" i="34"/>
  <c r="I131" i="34"/>
  <c r="I127" i="34"/>
  <c r="I123" i="34"/>
  <c r="I119" i="34"/>
  <c r="I184" i="34"/>
  <c r="I164" i="34"/>
  <c r="I157" i="34"/>
  <c r="I153" i="34"/>
  <c r="I149" i="34"/>
  <c r="I145" i="34"/>
  <c r="I141" i="34"/>
  <c r="I137" i="34"/>
  <c r="I133" i="34"/>
  <c r="I129" i="34"/>
  <c r="I125" i="34"/>
  <c r="I121" i="34"/>
  <c r="I117" i="34"/>
  <c r="I150" i="34"/>
  <c r="I142" i="34"/>
  <c r="I134" i="34"/>
  <c r="I126" i="34"/>
  <c r="I113" i="34"/>
  <c r="I109" i="34"/>
  <c r="I105" i="34"/>
  <c r="I101" i="34"/>
  <c r="I97" i="34"/>
  <c r="I93" i="34"/>
  <c r="I89" i="34"/>
  <c r="I158" i="34"/>
  <c r="I118" i="34"/>
  <c r="I116" i="34"/>
  <c r="I112" i="34"/>
  <c r="I108" i="34"/>
  <c r="I104" i="34"/>
  <c r="I100" i="34"/>
  <c r="I96" i="34"/>
  <c r="I92" i="34"/>
  <c r="I88" i="34"/>
  <c r="I156" i="34"/>
  <c r="I148" i="34"/>
  <c r="I140" i="34"/>
  <c r="I132" i="34"/>
  <c r="I120" i="34"/>
  <c r="I160" i="34"/>
  <c r="I124" i="34"/>
  <c r="I168" i="34"/>
  <c r="I114" i="34"/>
  <c r="I110" i="34"/>
  <c r="I106" i="34"/>
  <c r="I102" i="34"/>
  <c r="I98" i="34"/>
  <c r="I94" i="34"/>
  <c r="I90" i="34"/>
  <c r="I86" i="34"/>
  <c r="I49" i="34"/>
  <c r="I53" i="34"/>
  <c r="I57" i="34"/>
  <c r="I61" i="34"/>
  <c r="I68" i="34"/>
  <c r="I69" i="34"/>
  <c r="I79" i="34"/>
  <c r="I91" i="34"/>
  <c r="I107" i="34"/>
  <c r="I138" i="34"/>
  <c r="B42" i="34"/>
  <c r="I46" i="34"/>
  <c r="J46" i="34" s="1"/>
  <c r="K46" i="34" s="1"/>
  <c r="I50" i="34"/>
  <c r="I54" i="34"/>
  <c r="I58" i="34"/>
  <c r="I62" i="34"/>
  <c r="I71" i="34"/>
  <c r="I82" i="34"/>
  <c r="I83" i="34"/>
  <c r="I95" i="34"/>
  <c r="I111" i="34"/>
  <c r="I122" i="34"/>
  <c r="I146" i="34"/>
  <c r="I72" i="34"/>
  <c r="I73" i="34"/>
  <c r="I128" i="34"/>
  <c r="I47" i="34"/>
  <c r="I51" i="34"/>
  <c r="I55" i="34"/>
  <c r="I59" i="34"/>
  <c r="I63" i="34"/>
  <c r="I74" i="34"/>
  <c r="I99" i="34"/>
  <c r="I115" i="34"/>
  <c r="I154" i="34"/>
  <c r="I64" i="34"/>
  <c r="I65" i="34"/>
  <c r="I75" i="34"/>
  <c r="I136" i="34"/>
  <c r="G225" i="34"/>
  <c r="C226" i="34"/>
  <c r="D225" i="34"/>
  <c r="B220" i="34" l="1"/>
  <c r="B210" i="34"/>
  <c r="B218" i="34"/>
  <c r="B211" i="34"/>
  <c r="B215" i="34"/>
  <c r="B219" i="34"/>
  <c r="F216" i="34"/>
  <c r="F218" i="34"/>
  <c r="B209" i="34"/>
  <c r="F211" i="34"/>
  <c r="F215" i="34"/>
  <c r="F219" i="34"/>
  <c r="F209" i="34"/>
  <c r="F217" i="34"/>
  <c r="F210" i="34"/>
  <c r="F212" i="34"/>
  <c r="F213" i="34"/>
  <c r="B214" i="34"/>
  <c r="F214" i="34"/>
  <c r="B212" i="34"/>
  <c r="B216" i="34"/>
  <c r="B213" i="34"/>
  <c r="B217" i="34"/>
  <c r="F220" i="34"/>
  <c r="G8" i="34"/>
  <c r="H8" i="34" s="1"/>
  <c r="B185" i="34"/>
  <c r="F188" i="34"/>
  <c r="F192" i="34"/>
  <c r="F196" i="34"/>
  <c r="H11" i="24" s="1"/>
  <c r="H12" i="24" s="1"/>
  <c r="H13" i="24" s="1"/>
  <c r="H14" i="24" s="1"/>
  <c r="H15" i="24" s="1"/>
  <c r="H16" i="24" s="1"/>
  <c r="H17" i="24" s="1"/>
  <c r="H18" i="24" s="1"/>
  <c r="H19" i="24" s="1"/>
  <c r="H20" i="24" s="1"/>
  <c r="H21" i="24" s="1"/>
  <c r="H22" i="24" s="1"/>
  <c r="H23" i="24" s="1"/>
  <c r="F200" i="34"/>
  <c r="F204" i="34"/>
  <c r="F208" i="34"/>
  <c r="B189" i="34"/>
  <c r="B193" i="34"/>
  <c r="B197" i="34"/>
  <c r="B205" i="34"/>
  <c r="F189" i="34"/>
  <c r="F193" i="34"/>
  <c r="F197" i="34"/>
  <c r="F201" i="34"/>
  <c r="F205" i="34"/>
  <c r="B186" i="34"/>
  <c r="B194" i="34"/>
  <c r="B206" i="34"/>
  <c r="F202" i="34"/>
  <c r="B191" i="34"/>
  <c r="B203" i="34"/>
  <c r="F191" i="34"/>
  <c r="F199" i="34"/>
  <c r="B204" i="34"/>
  <c r="F185" i="34"/>
  <c r="B201" i="34"/>
  <c r="B190" i="34"/>
  <c r="B198" i="34"/>
  <c r="B202" i="34"/>
  <c r="F194" i="34"/>
  <c r="F206" i="34"/>
  <c r="B187" i="34"/>
  <c r="B199" i="34"/>
  <c r="B207" i="34"/>
  <c r="F195" i="34"/>
  <c r="F203" i="34"/>
  <c r="B196" i="34"/>
  <c r="B208" i="34"/>
  <c r="F186" i="34"/>
  <c r="F190" i="34"/>
  <c r="F198" i="34"/>
  <c r="B195" i="34"/>
  <c r="F187" i="34"/>
  <c r="F207" i="34"/>
  <c r="B192" i="34"/>
  <c r="B200" i="34"/>
  <c r="B188" i="34"/>
  <c r="E225" i="34"/>
  <c r="H225" i="34" s="1"/>
  <c r="G398" i="34"/>
  <c r="D398" i="34"/>
  <c r="E398" i="34" s="1"/>
  <c r="H398" i="34" s="1"/>
  <c r="K47" i="34"/>
  <c r="K48" i="34" s="1"/>
  <c r="K49" i="34" s="1"/>
  <c r="K50" i="34" s="1"/>
  <c r="K51" i="34" s="1"/>
  <c r="K52" i="34" s="1"/>
  <c r="K53" i="34" s="1"/>
  <c r="K54" i="34" s="1"/>
  <c r="K55" i="34" s="1"/>
  <c r="K56" i="34" s="1"/>
  <c r="K57" i="34" s="1"/>
  <c r="K58" i="34" s="1"/>
  <c r="K59" i="34" s="1"/>
  <c r="K60" i="34" s="1"/>
  <c r="K61" i="34" s="1"/>
  <c r="K62" i="34" s="1"/>
  <c r="K63" i="34" s="1"/>
  <c r="K64" i="34" s="1"/>
  <c r="K65" i="34" s="1"/>
  <c r="K66" i="34" s="1"/>
  <c r="K67" i="34" s="1"/>
  <c r="K68" i="34" s="1"/>
  <c r="K69" i="34" s="1"/>
  <c r="K70" i="34" s="1"/>
  <c r="K71" i="34" s="1"/>
  <c r="K72" i="34" s="1"/>
  <c r="K73" i="34" s="1"/>
  <c r="K74" i="34" s="1"/>
  <c r="K75" i="34" s="1"/>
  <c r="K76" i="34" s="1"/>
  <c r="K77" i="34" s="1"/>
  <c r="K78" i="34" s="1"/>
  <c r="K79" i="34" s="1"/>
  <c r="K80" i="34" s="1"/>
  <c r="K81" i="34" s="1"/>
  <c r="K82" i="34" s="1"/>
  <c r="K83" i="34" s="1"/>
  <c r="K84" i="34" s="1"/>
  <c r="K85" i="34" s="1"/>
  <c r="K86" i="34" s="1"/>
  <c r="K87" i="34" s="1"/>
  <c r="K88" i="34" s="1"/>
  <c r="K89" i="34" s="1"/>
  <c r="K90" i="34" s="1"/>
  <c r="K91" i="34" s="1"/>
  <c r="K92" i="34" s="1"/>
  <c r="K93" i="34" s="1"/>
  <c r="K94" i="34" s="1"/>
  <c r="K95" i="34" s="1"/>
  <c r="K96" i="34" s="1"/>
  <c r="K97" i="34" s="1"/>
  <c r="K98" i="34" s="1"/>
  <c r="K99" i="34" s="1"/>
  <c r="K100" i="34" s="1"/>
  <c r="K101" i="34" s="1"/>
  <c r="K102" i="34" s="1"/>
  <c r="K103" i="34" s="1"/>
  <c r="K104" i="34" s="1"/>
  <c r="K105" i="34" s="1"/>
  <c r="K106" i="34" s="1"/>
  <c r="K107" i="34" s="1"/>
  <c r="K108" i="34" s="1"/>
  <c r="K109" i="34" s="1"/>
  <c r="K110" i="34" s="1"/>
  <c r="K111" i="34" s="1"/>
  <c r="K112" i="34" s="1"/>
  <c r="K113" i="34" s="1"/>
  <c r="K114" i="34" s="1"/>
  <c r="K115" i="34" s="1"/>
  <c r="K116" i="34" s="1"/>
  <c r="K117" i="34" s="1"/>
  <c r="K118" i="34" s="1"/>
  <c r="K119" i="34" s="1"/>
  <c r="K120" i="34" s="1"/>
  <c r="K121" i="34" s="1"/>
  <c r="K122" i="34" s="1"/>
  <c r="K123" i="34" s="1"/>
  <c r="K124" i="34" s="1"/>
  <c r="K125" i="34" s="1"/>
  <c r="K126" i="34" s="1"/>
  <c r="K127" i="34" s="1"/>
  <c r="K128" i="34" s="1"/>
  <c r="K129" i="34" s="1"/>
  <c r="K130" i="34" s="1"/>
  <c r="K131" i="34" s="1"/>
  <c r="K132" i="34" s="1"/>
  <c r="K133" i="34" s="1"/>
  <c r="K134" i="34" s="1"/>
  <c r="K135" i="34" s="1"/>
  <c r="K136" i="34" s="1"/>
  <c r="K137" i="34" s="1"/>
  <c r="K138" i="34" s="1"/>
  <c r="K139" i="34" s="1"/>
  <c r="K140" i="34" s="1"/>
  <c r="K141" i="34" s="1"/>
  <c r="K142" i="34" s="1"/>
  <c r="K143" i="34" s="1"/>
  <c r="K144" i="34" s="1"/>
  <c r="K145" i="34" s="1"/>
  <c r="K146" i="34" s="1"/>
  <c r="K147" i="34" s="1"/>
  <c r="K148" i="34" s="1"/>
  <c r="K149" i="34" s="1"/>
  <c r="K150" i="34" s="1"/>
  <c r="K151" i="34" s="1"/>
  <c r="K152" i="34" s="1"/>
  <c r="K153" i="34" s="1"/>
  <c r="K154" i="34" s="1"/>
  <c r="K155" i="34" s="1"/>
  <c r="K156" i="34" s="1"/>
  <c r="K157" i="34" s="1"/>
  <c r="K158" i="34" s="1"/>
  <c r="K159" i="34" s="1"/>
  <c r="K160" i="34" s="1"/>
  <c r="K161" i="34" s="1"/>
  <c r="K162" i="34" s="1"/>
  <c r="K163" i="34" s="1"/>
  <c r="K164" i="34" s="1"/>
  <c r="K165" i="34" s="1"/>
  <c r="K166" i="34" s="1"/>
  <c r="K167" i="34" s="1"/>
  <c r="K168" i="34" s="1"/>
  <c r="K169" i="34" s="1"/>
  <c r="K170" i="34" s="1"/>
  <c r="K171" i="34" s="1"/>
  <c r="K172" i="34" s="1"/>
  <c r="K173" i="34" s="1"/>
  <c r="K174" i="34" s="1"/>
  <c r="K175" i="34" s="1"/>
  <c r="K176" i="34" s="1"/>
  <c r="K177" i="34" s="1"/>
  <c r="K178" i="34" s="1"/>
  <c r="K179" i="34" s="1"/>
  <c r="K180" i="34" s="1"/>
  <c r="K181" i="34" s="1"/>
  <c r="K182" i="34" s="1"/>
  <c r="K183" i="34" s="1"/>
  <c r="K184" i="34" s="1"/>
  <c r="K185" i="34" s="1"/>
  <c r="K186" i="34" s="1"/>
  <c r="K187" i="34" s="1"/>
  <c r="K188" i="34" s="1"/>
  <c r="K189" i="34" s="1"/>
  <c r="K190" i="34" s="1"/>
  <c r="K191" i="34" s="1"/>
  <c r="K192" i="34" s="1"/>
  <c r="K193" i="34" s="1"/>
  <c r="K194" i="34" s="1"/>
  <c r="K195" i="34" s="1"/>
  <c r="K196" i="34" s="1"/>
  <c r="K197" i="34" s="1"/>
  <c r="K198" i="34" s="1"/>
  <c r="K199" i="34" s="1"/>
  <c r="K200" i="34" s="1"/>
  <c r="K201" i="34" s="1"/>
  <c r="K202" i="34" s="1"/>
  <c r="K203" i="34" s="1"/>
  <c r="K204" i="34" s="1"/>
  <c r="K205" i="34" s="1"/>
  <c r="K206" i="34" s="1"/>
  <c r="K207" i="34" s="1"/>
  <c r="K208" i="34" s="1"/>
  <c r="K209" i="34" s="1"/>
  <c r="K210" i="34" s="1"/>
  <c r="K211" i="34" s="1"/>
  <c r="K212" i="34" s="1"/>
  <c r="K213" i="34" s="1"/>
  <c r="K214" i="34" s="1"/>
  <c r="K215" i="34" s="1"/>
  <c r="K216" i="34" s="1"/>
  <c r="K217" i="34" s="1"/>
  <c r="K218" i="34" s="1"/>
  <c r="K219" i="34" s="1"/>
  <c r="K220" i="34" s="1"/>
  <c r="C227" i="34"/>
  <c r="D226" i="34"/>
  <c r="E226" i="34" s="1"/>
  <c r="H226" i="34" s="1"/>
  <c r="G226" i="34"/>
  <c r="J47" i="34"/>
  <c r="J48" i="34" s="1"/>
  <c r="J49" i="34" s="1"/>
  <c r="J50" i="34" s="1"/>
  <c r="J51" i="34" s="1"/>
  <c r="J52" i="34" s="1"/>
  <c r="J53" i="34" s="1"/>
  <c r="J54" i="34" s="1"/>
  <c r="J55" i="34" s="1"/>
  <c r="J56" i="34" s="1"/>
  <c r="J57" i="34" s="1"/>
  <c r="J58" i="34" s="1"/>
  <c r="J59" i="34" s="1"/>
  <c r="J60" i="34" s="1"/>
  <c r="J61" i="34" s="1"/>
  <c r="J62" i="34" s="1"/>
  <c r="J63" i="34" s="1"/>
  <c r="J64" i="34" s="1"/>
  <c r="J65" i="34" s="1"/>
  <c r="J66" i="34" s="1"/>
  <c r="J67" i="34" s="1"/>
  <c r="J68" i="34" s="1"/>
  <c r="J69" i="34" s="1"/>
  <c r="J70" i="34" s="1"/>
  <c r="J71" i="34" s="1"/>
  <c r="J72" i="34" s="1"/>
  <c r="J73" i="34" s="1"/>
  <c r="J74" i="34" s="1"/>
  <c r="J75" i="34" s="1"/>
  <c r="J76" i="34" s="1"/>
  <c r="J77" i="34" s="1"/>
  <c r="J78" i="34" s="1"/>
  <c r="J79" i="34" s="1"/>
  <c r="J80" i="34" s="1"/>
  <c r="J81" i="34" s="1"/>
  <c r="J82" i="34" s="1"/>
  <c r="J83" i="34" s="1"/>
  <c r="J84" i="34" s="1"/>
  <c r="J85" i="34" s="1"/>
  <c r="J86" i="34" s="1"/>
  <c r="J87" i="34" s="1"/>
  <c r="J88" i="34" s="1"/>
  <c r="J89" i="34" s="1"/>
  <c r="J90" i="34" s="1"/>
  <c r="J91" i="34" s="1"/>
  <c r="J92" i="34" s="1"/>
  <c r="J93" i="34" s="1"/>
  <c r="J94" i="34" s="1"/>
  <c r="J95" i="34" s="1"/>
  <c r="J96" i="34" s="1"/>
  <c r="J97" i="34" s="1"/>
  <c r="J98" i="34" s="1"/>
  <c r="J99" i="34" s="1"/>
  <c r="J100" i="34" s="1"/>
  <c r="J101" i="34" s="1"/>
  <c r="J102" i="34" s="1"/>
  <c r="J103" i="34" s="1"/>
  <c r="J104" i="34" s="1"/>
  <c r="J105" i="34" s="1"/>
  <c r="J106" i="34" s="1"/>
  <c r="J107" i="34" s="1"/>
  <c r="J108" i="34" s="1"/>
  <c r="J109" i="34" s="1"/>
  <c r="J110" i="34" s="1"/>
  <c r="J111" i="34" s="1"/>
  <c r="J112" i="34" s="1"/>
  <c r="J113" i="34" s="1"/>
  <c r="J114" i="34" s="1"/>
  <c r="J115" i="34" s="1"/>
  <c r="J116" i="34" s="1"/>
  <c r="J117" i="34" s="1"/>
  <c r="J118" i="34" s="1"/>
  <c r="J119" i="34" s="1"/>
  <c r="J120" i="34" s="1"/>
  <c r="J121" i="34" s="1"/>
  <c r="J122" i="34" s="1"/>
  <c r="J123" i="34" s="1"/>
  <c r="J124" i="34" s="1"/>
  <c r="J125" i="34" s="1"/>
  <c r="J126" i="34" s="1"/>
  <c r="J127" i="34" s="1"/>
  <c r="J128" i="34" s="1"/>
  <c r="J129" i="34" s="1"/>
  <c r="J130" i="34" s="1"/>
  <c r="J131" i="34" s="1"/>
  <c r="J132" i="34" s="1"/>
  <c r="J133" i="34" s="1"/>
  <c r="J134" i="34" s="1"/>
  <c r="J135" i="34" s="1"/>
  <c r="J136" i="34" s="1"/>
  <c r="J137" i="34" s="1"/>
  <c r="J138" i="34" s="1"/>
  <c r="J139" i="34" s="1"/>
  <c r="J140" i="34" s="1"/>
  <c r="J141" i="34" s="1"/>
  <c r="J142" i="34" s="1"/>
  <c r="J143" i="34" s="1"/>
  <c r="J144" i="34" s="1"/>
  <c r="J145" i="34" s="1"/>
  <c r="J146" i="34" s="1"/>
  <c r="J147" i="34" s="1"/>
  <c r="J148" i="34" s="1"/>
  <c r="J149" i="34" s="1"/>
  <c r="J150" i="34" s="1"/>
  <c r="J151" i="34" s="1"/>
  <c r="J152" i="34" s="1"/>
  <c r="J153" i="34" s="1"/>
  <c r="J154" i="34" s="1"/>
  <c r="J155" i="34" s="1"/>
  <c r="J156" i="34" s="1"/>
  <c r="J157" i="34" s="1"/>
  <c r="J158" i="34" s="1"/>
  <c r="J159" i="34" s="1"/>
  <c r="J160" i="34" s="1"/>
  <c r="J161" i="34" s="1"/>
  <c r="J162" i="34" s="1"/>
  <c r="J163" i="34" s="1"/>
  <c r="J164" i="34" s="1"/>
  <c r="J165" i="34" s="1"/>
  <c r="J166" i="34" s="1"/>
  <c r="J167" i="34" s="1"/>
  <c r="J168" i="34" s="1"/>
  <c r="J169" i="34" s="1"/>
  <c r="J170" i="34" s="1"/>
  <c r="J171" i="34" s="1"/>
  <c r="J172" i="34" s="1"/>
  <c r="J173" i="34" s="1"/>
  <c r="J174" i="34" s="1"/>
  <c r="J175" i="34" s="1"/>
  <c r="J176" i="34" s="1"/>
  <c r="J177" i="34" s="1"/>
  <c r="J178" i="34" s="1"/>
  <c r="J179" i="34" s="1"/>
  <c r="J180" i="34" s="1"/>
  <c r="J181" i="34" s="1"/>
  <c r="J182" i="34" s="1"/>
  <c r="J183" i="34" s="1"/>
  <c r="J184" i="34" s="1"/>
  <c r="J185" i="34" s="1"/>
  <c r="J186" i="34" s="1"/>
  <c r="J187" i="34" s="1"/>
  <c r="J188" i="34" s="1"/>
  <c r="J189" i="34" s="1"/>
  <c r="J190" i="34" s="1"/>
  <c r="J191" i="34" s="1"/>
  <c r="J192" i="34" s="1"/>
  <c r="J193" i="34" s="1"/>
  <c r="J194" i="34" s="1"/>
  <c r="J195" i="34" s="1"/>
  <c r="J196" i="34" s="1"/>
  <c r="J197" i="34" s="1"/>
  <c r="J198" i="34" s="1"/>
  <c r="J199" i="34" s="1"/>
  <c r="J200" i="34" s="1"/>
  <c r="J201" i="34" s="1"/>
  <c r="J202" i="34" s="1"/>
  <c r="J203" i="34" s="1"/>
  <c r="J204" i="34" s="1"/>
  <c r="J205" i="34" s="1"/>
  <c r="J206" i="34" s="1"/>
  <c r="J207" i="34" s="1"/>
  <c r="J208" i="34" s="1"/>
  <c r="J209" i="34" s="1"/>
  <c r="J210" i="34" s="1"/>
  <c r="J211" i="34" s="1"/>
  <c r="J212" i="34" s="1"/>
  <c r="J213" i="34" s="1"/>
  <c r="J214" i="34" s="1"/>
  <c r="J215" i="34" s="1"/>
  <c r="J216" i="34" s="1"/>
  <c r="J217" i="34" s="1"/>
  <c r="J218" i="34" s="1"/>
  <c r="J219" i="34" s="1"/>
  <c r="J220" i="34" s="1"/>
  <c r="E33" i="34"/>
  <c r="G399" i="34"/>
  <c r="C400" i="34"/>
  <c r="D399" i="34"/>
  <c r="E399" i="34" s="1"/>
  <c r="H399" i="34" s="1"/>
  <c r="B183" i="34"/>
  <c r="F181" i="34"/>
  <c r="B179" i="34"/>
  <c r="F177" i="34"/>
  <c r="B175" i="34"/>
  <c r="F173" i="34"/>
  <c r="B171" i="34"/>
  <c r="F169" i="34"/>
  <c r="B167" i="34"/>
  <c r="F165" i="34"/>
  <c r="B163" i="34"/>
  <c r="F161" i="34"/>
  <c r="B159" i="34"/>
  <c r="F184" i="34"/>
  <c r="B182" i="34"/>
  <c r="F180" i="34"/>
  <c r="B178" i="34"/>
  <c r="F176" i="34"/>
  <c r="B174" i="34"/>
  <c r="F172" i="34"/>
  <c r="B170" i="34"/>
  <c r="F168" i="34"/>
  <c r="B166" i="34"/>
  <c r="F164" i="34"/>
  <c r="B162" i="34"/>
  <c r="F160" i="34"/>
  <c r="F174" i="34"/>
  <c r="B168" i="34"/>
  <c r="F157" i="34"/>
  <c r="B155" i="34"/>
  <c r="F153" i="34"/>
  <c r="B151" i="34"/>
  <c r="F149" i="34"/>
  <c r="B147" i="34"/>
  <c r="F145" i="34"/>
  <c r="B143" i="34"/>
  <c r="F141" i="34"/>
  <c r="B139" i="34"/>
  <c r="F137" i="34"/>
  <c r="B135" i="34"/>
  <c r="F133" i="34"/>
  <c r="B131" i="34"/>
  <c r="F129" i="34"/>
  <c r="B127" i="34"/>
  <c r="F178" i="34"/>
  <c r="B172" i="34"/>
  <c r="F163" i="34"/>
  <c r="F159" i="34"/>
  <c r="F182" i="34"/>
  <c r="B176" i="34"/>
  <c r="F167" i="34"/>
  <c r="B161" i="34"/>
  <c r="B158" i="34"/>
  <c r="F156" i="34"/>
  <c r="B154" i="34"/>
  <c r="F152" i="34"/>
  <c r="B150" i="34"/>
  <c r="F148" i="34"/>
  <c r="B146" i="34"/>
  <c r="F144" i="34"/>
  <c r="B142" i="34"/>
  <c r="F140" i="34"/>
  <c r="B138" i="34"/>
  <c r="F136" i="34"/>
  <c r="B134" i="34"/>
  <c r="F132" i="34"/>
  <c r="B130" i="34"/>
  <c r="F128" i="34"/>
  <c r="B126" i="34"/>
  <c r="F179" i="34"/>
  <c r="B173" i="34"/>
  <c r="F162" i="34"/>
  <c r="B180" i="34"/>
  <c r="F171" i="34"/>
  <c r="B120" i="34"/>
  <c r="B119" i="34"/>
  <c r="B117" i="34"/>
  <c r="B184" i="34"/>
  <c r="F175" i="34"/>
  <c r="B157" i="34"/>
  <c r="F155" i="34"/>
  <c r="B149" i="34"/>
  <c r="F147" i="34"/>
  <c r="B141" i="34"/>
  <c r="F139" i="34"/>
  <c r="B133" i="34"/>
  <c r="F131" i="34"/>
  <c r="F125" i="34"/>
  <c r="B122" i="34"/>
  <c r="B121" i="34"/>
  <c r="B116" i="34"/>
  <c r="F114" i="34"/>
  <c r="B112" i="34"/>
  <c r="F110" i="34"/>
  <c r="B108" i="34"/>
  <c r="F106" i="34"/>
  <c r="B104" i="34"/>
  <c r="F102" i="34"/>
  <c r="B100" i="34"/>
  <c r="F98" i="34"/>
  <c r="B96" i="34"/>
  <c r="F94" i="34"/>
  <c r="B92" i="34"/>
  <c r="F90" i="34"/>
  <c r="B88" i="34"/>
  <c r="F86" i="34"/>
  <c r="B84" i="34"/>
  <c r="F82" i="34"/>
  <c r="B80" i="34"/>
  <c r="F78" i="34"/>
  <c r="B76" i="34"/>
  <c r="F74" i="34"/>
  <c r="B72" i="34"/>
  <c r="F70" i="34"/>
  <c r="B68" i="34"/>
  <c r="F66" i="34"/>
  <c r="B64" i="34"/>
  <c r="F183" i="34"/>
  <c r="F166" i="34"/>
  <c r="B152" i="34"/>
  <c r="F150" i="34"/>
  <c r="B144" i="34"/>
  <c r="F142" i="34"/>
  <c r="B136" i="34"/>
  <c r="F134" i="34"/>
  <c r="B128" i="34"/>
  <c r="F126" i="34"/>
  <c r="B124" i="34"/>
  <c r="B123" i="34"/>
  <c r="F170" i="34"/>
  <c r="F158" i="34"/>
  <c r="B125" i="34"/>
  <c r="B115" i="34"/>
  <c r="F113" i="34"/>
  <c r="B111" i="34"/>
  <c r="F109" i="34"/>
  <c r="B107" i="34"/>
  <c r="F105" i="34"/>
  <c r="B103" i="34"/>
  <c r="F101" i="34"/>
  <c r="B99" i="34"/>
  <c r="F97" i="34"/>
  <c r="B95" i="34"/>
  <c r="F93" i="34"/>
  <c r="B91" i="34"/>
  <c r="F89" i="34"/>
  <c r="B87" i="34"/>
  <c r="F85" i="34"/>
  <c r="B83" i="34"/>
  <c r="B169" i="34"/>
  <c r="B153" i="34"/>
  <c r="F151" i="34"/>
  <c r="B145" i="34"/>
  <c r="F143" i="34"/>
  <c r="B137" i="34"/>
  <c r="F135" i="34"/>
  <c r="B129" i="34"/>
  <c r="F127" i="34"/>
  <c r="F120" i="34"/>
  <c r="F119" i="34"/>
  <c r="F116" i="34"/>
  <c r="B114" i="34"/>
  <c r="F112" i="34"/>
  <c r="B110" i="34"/>
  <c r="F108" i="34"/>
  <c r="B106" i="34"/>
  <c r="F104" i="34"/>
  <c r="B102" i="34"/>
  <c r="F100" i="34"/>
  <c r="B98" i="34"/>
  <c r="F96" i="34"/>
  <c r="B94" i="34"/>
  <c r="F92" i="34"/>
  <c r="B90" i="34"/>
  <c r="F88" i="34"/>
  <c r="B86" i="34"/>
  <c r="B177" i="34"/>
  <c r="B160" i="34"/>
  <c r="B156" i="34"/>
  <c r="F154" i="34"/>
  <c r="B148" i="34"/>
  <c r="F146" i="34"/>
  <c r="B140" i="34"/>
  <c r="F138" i="34"/>
  <c r="B132" i="34"/>
  <c r="F130" i="34"/>
  <c r="F122" i="34"/>
  <c r="F121" i="34"/>
  <c r="F80" i="34"/>
  <c r="F124" i="34"/>
  <c r="B113" i="34"/>
  <c r="F103" i="34"/>
  <c r="B97" i="34"/>
  <c r="F87" i="34"/>
  <c r="F79" i="34"/>
  <c r="B73" i="34"/>
  <c r="F68" i="34"/>
  <c r="B63" i="34"/>
  <c r="F61" i="34"/>
  <c r="B59" i="34"/>
  <c r="F57" i="34"/>
  <c r="B55" i="34"/>
  <c r="F53" i="34"/>
  <c r="B51" i="34"/>
  <c r="F49" i="34"/>
  <c r="B47" i="34"/>
  <c r="F111" i="34"/>
  <c r="B78" i="34"/>
  <c r="F73" i="34"/>
  <c r="F55" i="34"/>
  <c r="F51" i="34"/>
  <c r="B165" i="34"/>
  <c r="B82" i="34"/>
  <c r="F77" i="34"/>
  <c r="B71" i="34"/>
  <c r="F67" i="34"/>
  <c r="B105" i="34"/>
  <c r="B89" i="34"/>
  <c r="B67" i="34"/>
  <c r="F63" i="34"/>
  <c r="B57" i="34"/>
  <c r="B181" i="34"/>
  <c r="B164" i="34"/>
  <c r="F123" i="34"/>
  <c r="F115" i="34"/>
  <c r="B109" i="34"/>
  <c r="F99" i="34"/>
  <c r="B93" i="34"/>
  <c r="B85" i="34"/>
  <c r="B81" i="34"/>
  <c r="F76" i="34"/>
  <c r="B70" i="34"/>
  <c r="F65" i="34"/>
  <c r="B62" i="34"/>
  <c r="F60" i="34"/>
  <c r="B58" i="34"/>
  <c r="F56" i="34"/>
  <c r="B54" i="34"/>
  <c r="F52" i="34"/>
  <c r="B50" i="34"/>
  <c r="F48" i="34"/>
  <c r="B46" i="34"/>
  <c r="C46" i="34" s="1"/>
  <c r="C567" i="34" s="1"/>
  <c r="B61" i="34"/>
  <c r="B49" i="34"/>
  <c r="F118" i="34"/>
  <c r="B79" i="34"/>
  <c r="F75" i="34"/>
  <c r="B69" i="34"/>
  <c r="F64" i="34"/>
  <c r="B118" i="34"/>
  <c r="F95" i="34"/>
  <c r="F59" i="34"/>
  <c r="B53" i="34"/>
  <c r="F47" i="34"/>
  <c r="F117" i="34"/>
  <c r="B77" i="34"/>
  <c r="F72" i="34"/>
  <c r="B66" i="34"/>
  <c r="B74" i="34"/>
  <c r="F107" i="34"/>
  <c r="B101" i="34"/>
  <c r="F91" i="34"/>
  <c r="F84" i="34"/>
  <c r="F83" i="34"/>
  <c r="F81" i="34"/>
  <c r="B75" i="34"/>
  <c r="F71" i="34"/>
  <c r="B65" i="34"/>
  <c r="F62" i="34"/>
  <c r="B60" i="34"/>
  <c r="F58" i="34"/>
  <c r="B56" i="34"/>
  <c r="F54" i="34"/>
  <c r="B52" i="34"/>
  <c r="F50" i="34"/>
  <c r="B48" i="34"/>
  <c r="F46" i="34"/>
  <c r="F69" i="34"/>
  <c r="G9" i="34" l="1"/>
  <c r="G10" i="34" s="1"/>
  <c r="D46" i="34"/>
  <c r="E46" i="34" s="1"/>
  <c r="H46" i="34" s="1"/>
  <c r="C228" i="34"/>
  <c r="D227" i="34"/>
  <c r="E227" i="34" s="1"/>
  <c r="H227" i="34" s="1"/>
  <c r="G227" i="34"/>
  <c r="G46" i="34"/>
  <c r="C47" i="34"/>
  <c r="C401" i="34"/>
  <c r="D400" i="34"/>
  <c r="E400" i="34" s="1"/>
  <c r="H400" i="34" s="1"/>
  <c r="G400" i="34"/>
  <c r="H10" i="34"/>
  <c r="G11" i="34"/>
  <c r="H9" i="34" l="1"/>
  <c r="H84" i="24"/>
  <c r="H83" i="24"/>
  <c r="H85" i="24"/>
  <c r="H94" i="24"/>
  <c r="H86" i="24"/>
  <c r="H87" i="24"/>
  <c r="H88" i="24"/>
  <c r="H89" i="24"/>
  <c r="H90" i="24"/>
  <c r="H91" i="24"/>
  <c r="H92" i="24"/>
  <c r="H93" i="24"/>
  <c r="G401" i="34"/>
  <c r="D401" i="34"/>
  <c r="E401" i="34" s="1"/>
  <c r="H401" i="34" s="1"/>
  <c r="C402" i="34"/>
  <c r="G47" i="34"/>
  <c r="C48" i="34"/>
  <c r="D47" i="34"/>
  <c r="E47" i="34" s="1"/>
  <c r="H47" i="34" s="1"/>
  <c r="H11" i="34"/>
  <c r="G12" i="34"/>
  <c r="C229" i="34"/>
  <c r="D228" i="34"/>
  <c r="E228" i="34" s="1"/>
  <c r="H228" i="34" s="1"/>
  <c r="G228" i="34"/>
  <c r="G13" i="34" l="1"/>
  <c r="H12" i="34"/>
  <c r="C230" i="34"/>
  <c r="D229" i="34"/>
  <c r="E229" i="34" s="1"/>
  <c r="H229" i="34" s="1"/>
  <c r="G229" i="34"/>
  <c r="G48" i="34"/>
  <c r="C49" i="34"/>
  <c r="D48" i="34"/>
  <c r="E48" i="34" s="1"/>
  <c r="H48" i="34" s="1"/>
  <c r="C403" i="34"/>
  <c r="D402" i="34"/>
  <c r="E402" i="34" s="1"/>
  <c r="H402" i="34" s="1"/>
  <c r="G402" i="34"/>
  <c r="C50" i="34" l="1"/>
  <c r="G49" i="34"/>
  <c r="D49" i="34"/>
  <c r="E49" i="34" s="1"/>
  <c r="H49" i="34" s="1"/>
  <c r="G230" i="34"/>
  <c r="D230" i="34"/>
  <c r="E230" i="34" s="1"/>
  <c r="H230" i="34" s="1"/>
  <c r="C231" i="34"/>
  <c r="G403" i="34"/>
  <c r="C404" i="34"/>
  <c r="D403" i="34"/>
  <c r="E403" i="34" s="1"/>
  <c r="H403" i="34" s="1"/>
  <c r="H13" i="34"/>
  <c r="G14" i="34"/>
  <c r="G50" i="34" l="1"/>
  <c r="C51" i="34"/>
  <c r="D50" i="34"/>
  <c r="E50" i="34" s="1"/>
  <c r="H50" i="34" s="1"/>
  <c r="G404" i="34"/>
  <c r="C405" i="34"/>
  <c r="D404" i="34"/>
  <c r="E404" i="34" s="1"/>
  <c r="H404" i="34" s="1"/>
  <c r="G15" i="34"/>
  <c r="H14" i="34"/>
  <c r="G231" i="34"/>
  <c r="C232" i="34"/>
  <c r="D231" i="34"/>
  <c r="E231" i="34" s="1"/>
  <c r="H231" i="34" s="1"/>
  <c r="G16" i="34" l="1"/>
  <c r="H15" i="34"/>
  <c r="G405" i="34"/>
  <c r="D405" i="34"/>
  <c r="E405" i="34" s="1"/>
  <c r="H405" i="34" s="1"/>
  <c r="C406" i="34"/>
  <c r="G232" i="34"/>
  <c r="C233" i="34"/>
  <c r="D232" i="34"/>
  <c r="E232" i="34" s="1"/>
  <c r="H232" i="34" s="1"/>
  <c r="G51" i="34"/>
  <c r="C52" i="34"/>
  <c r="D51" i="34"/>
  <c r="E51" i="34" s="1"/>
  <c r="H51" i="34" s="1"/>
  <c r="C407" i="34" l="1"/>
  <c r="D406" i="34"/>
  <c r="E406" i="34" s="1"/>
  <c r="H406" i="34" s="1"/>
  <c r="G406" i="34"/>
  <c r="G233" i="34"/>
  <c r="C234" i="34"/>
  <c r="D233" i="34"/>
  <c r="E233" i="34" s="1"/>
  <c r="H233" i="34" s="1"/>
  <c r="H16" i="34"/>
  <c r="G17" i="34"/>
  <c r="G52" i="34"/>
  <c r="C53" i="34"/>
  <c r="D52" i="34"/>
  <c r="E52" i="34" s="1"/>
  <c r="H52" i="34" s="1"/>
  <c r="G18" i="34" l="1"/>
  <c r="H17" i="34"/>
  <c r="C235" i="34"/>
  <c r="D234" i="34"/>
  <c r="E234" i="34" s="1"/>
  <c r="H234" i="34" s="1"/>
  <c r="G234" i="34"/>
  <c r="C54" i="34"/>
  <c r="G53" i="34"/>
  <c r="D53" i="34"/>
  <c r="E53" i="34" s="1"/>
  <c r="H53" i="34" s="1"/>
  <c r="G407" i="34"/>
  <c r="C408" i="34"/>
  <c r="D407" i="34"/>
  <c r="E407" i="34" s="1"/>
  <c r="H407" i="34" s="1"/>
  <c r="C55" i="34" l="1"/>
  <c r="G54" i="34"/>
  <c r="D54" i="34"/>
  <c r="E54" i="34" s="1"/>
  <c r="H54" i="34" s="1"/>
  <c r="C409" i="34"/>
  <c r="D408" i="34"/>
  <c r="E408" i="34" s="1"/>
  <c r="H408" i="34" s="1"/>
  <c r="G408" i="34"/>
  <c r="C236" i="34"/>
  <c r="D235" i="34"/>
  <c r="E235" i="34" s="1"/>
  <c r="H235" i="34" s="1"/>
  <c r="G235" i="34"/>
  <c r="H18" i="34"/>
  <c r="G19" i="34"/>
  <c r="C237" i="34" l="1"/>
  <c r="D236" i="34"/>
  <c r="E236" i="34" s="1"/>
  <c r="H236" i="34" s="1"/>
  <c r="G236" i="34"/>
  <c r="G409" i="34"/>
  <c r="C410" i="34"/>
  <c r="D409" i="34"/>
  <c r="E409" i="34" s="1"/>
  <c r="H409" i="34" s="1"/>
  <c r="H19" i="34"/>
  <c r="G20" i="34"/>
  <c r="G55" i="34"/>
  <c r="C56" i="34"/>
  <c r="D55" i="34"/>
  <c r="E55" i="34" s="1"/>
  <c r="H55" i="34" s="1"/>
  <c r="C411" i="34" l="1"/>
  <c r="D410" i="34"/>
  <c r="E410" i="34" s="1"/>
  <c r="H410" i="34" s="1"/>
  <c r="G410" i="34"/>
  <c r="G56" i="34"/>
  <c r="C57" i="34"/>
  <c r="D56" i="34"/>
  <c r="E56" i="34" s="1"/>
  <c r="H56" i="34" s="1"/>
  <c r="G21" i="34"/>
  <c r="H20" i="34"/>
  <c r="D237" i="34"/>
  <c r="E237" i="34" s="1"/>
  <c r="H237" i="34" s="1"/>
  <c r="C238" i="34"/>
  <c r="G237" i="34"/>
  <c r="G57" i="34" l="1"/>
  <c r="C58" i="34"/>
  <c r="D57" i="34"/>
  <c r="E57" i="34" s="1"/>
  <c r="H57" i="34" s="1"/>
  <c r="H21" i="34"/>
  <c r="G22" i="34"/>
  <c r="G238" i="34"/>
  <c r="C239" i="34"/>
  <c r="D238" i="34"/>
  <c r="E238" i="34" s="1"/>
  <c r="H238" i="34" s="1"/>
  <c r="G411" i="34"/>
  <c r="C412" i="34"/>
  <c r="D411" i="34"/>
  <c r="E411" i="34" s="1"/>
  <c r="H411" i="34" s="1"/>
  <c r="G239" i="34" l="1"/>
  <c r="C240" i="34"/>
  <c r="D239" i="34"/>
  <c r="E239" i="34" s="1"/>
  <c r="H239" i="34" s="1"/>
  <c r="G23" i="34"/>
  <c r="H22" i="34"/>
  <c r="G412" i="34"/>
  <c r="C413" i="34"/>
  <c r="D412" i="34"/>
  <c r="E412" i="34" s="1"/>
  <c r="H412" i="34" s="1"/>
  <c r="C59" i="34"/>
  <c r="G58" i="34"/>
  <c r="D58" i="34"/>
  <c r="E58" i="34" s="1"/>
  <c r="H58" i="34" s="1"/>
  <c r="G413" i="34" l="1"/>
  <c r="C414" i="34"/>
  <c r="D413" i="34"/>
  <c r="E413" i="34" s="1"/>
  <c r="H413" i="34" s="1"/>
  <c r="G24" i="34"/>
  <c r="H23" i="34"/>
  <c r="G240" i="34"/>
  <c r="D240" i="34"/>
  <c r="E240" i="34" s="1"/>
  <c r="H240" i="34" s="1"/>
  <c r="C241" i="34"/>
  <c r="G59" i="34"/>
  <c r="C60" i="34"/>
  <c r="D59" i="34"/>
  <c r="E59" i="34" s="1"/>
  <c r="H59" i="34" s="1"/>
  <c r="G241" i="34" l="1"/>
  <c r="C242" i="34"/>
  <c r="D241" i="34"/>
  <c r="E241" i="34" s="1"/>
  <c r="H241" i="34" s="1"/>
  <c r="H24" i="34"/>
  <c r="G25" i="34"/>
  <c r="G60" i="34"/>
  <c r="C61" i="34"/>
  <c r="D60" i="34"/>
  <c r="E60" i="34" s="1"/>
  <c r="H60" i="34" s="1"/>
  <c r="C415" i="34"/>
  <c r="D414" i="34"/>
  <c r="E414" i="34" s="1"/>
  <c r="H414" i="34" s="1"/>
  <c r="G414" i="34"/>
  <c r="G61" i="34" l="1"/>
  <c r="C62" i="34"/>
  <c r="D61" i="34"/>
  <c r="E61" i="34" s="1"/>
  <c r="H61" i="34" s="1"/>
  <c r="G26" i="34"/>
  <c r="H25" i="34"/>
  <c r="C243" i="34"/>
  <c r="D242" i="34"/>
  <c r="E242" i="34" s="1"/>
  <c r="H242" i="34" s="1"/>
  <c r="G242" i="34"/>
  <c r="G415" i="34"/>
  <c r="C416" i="34"/>
  <c r="D415" i="34"/>
  <c r="E415" i="34" s="1"/>
  <c r="H415" i="34" s="1"/>
  <c r="C244" i="34" l="1"/>
  <c r="D243" i="34"/>
  <c r="E243" i="34" s="1"/>
  <c r="H243" i="34" s="1"/>
  <c r="G243" i="34"/>
  <c r="G27" i="34"/>
  <c r="H26" i="34"/>
  <c r="C417" i="34"/>
  <c r="D416" i="34"/>
  <c r="E416" i="34" s="1"/>
  <c r="H416" i="34" s="1"/>
  <c r="G416" i="34"/>
  <c r="G62" i="34"/>
  <c r="C63" i="34"/>
  <c r="D62" i="34"/>
  <c r="E62" i="34" s="1"/>
  <c r="H62" i="34" s="1"/>
  <c r="C245" i="34" l="1"/>
  <c r="D244" i="34"/>
  <c r="E244" i="34" s="1"/>
  <c r="H244" i="34" s="1"/>
  <c r="G244" i="34"/>
  <c r="G63" i="34"/>
  <c r="C64" i="34"/>
  <c r="D63" i="34"/>
  <c r="E63" i="34" s="1"/>
  <c r="H63" i="34" s="1"/>
  <c r="G417" i="34"/>
  <c r="C418" i="34"/>
  <c r="D417" i="34"/>
  <c r="E417" i="34" s="1"/>
  <c r="H417" i="34" s="1"/>
  <c r="H27" i="34"/>
  <c r="G28" i="34"/>
  <c r="C419" i="34" l="1"/>
  <c r="D418" i="34"/>
  <c r="E418" i="34" s="1"/>
  <c r="H418" i="34" s="1"/>
  <c r="G418" i="34"/>
  <c r="G64" i="34"/>
  <c r="C65" i="34"/>
  <c r="D64" i="34"/>
  <c r="E64" i="34" s="1"/>
  <c r="H64" i="34" s="1"/>
  <c r="G29" i="34"/>
  <c r="H28" i="34"/>
  <c r="C246" i="34"/>
  <c r="G245" i="34"/>
  <c r="D245" i="34"/>
  <c r="E245" i="34" s="1"/>
  <c r="H245" i="34" s="1"/>
  <c r="H29" i="34" l="1"/>
  <c r="G30" i="34"/>
  <c r="C66" i="34"/>
  <c r="G65" i="34"/>
  <c r="D65" i="34"/>
  <c r="E65" i="34" s="1"/>
  <c r="H65" i="34" s="1"/>
  <c r="G246" i="34"/>
  <c r="D246" i="34"/>
  <c r="E246" i="34" s="1"/>
  <c r="H246" i="34" s="1"/>
  <c r="C247" i="34"/>
  <c r="G419" i="34"/>
  <c r="C420" i="34"/>
  <c r="D419" i="34"/>
  <c r="E419" i="34" s="1"/>
  <c r="H419" i="34" s="1"/>
  <c r="G247" i="34" l="1"/>
  <c r="C248" i="34"/>
  <c r="D247" i="34"/>
  <c r="E247" i="34" s="1"/>
  <c r="H247" i="34" s="1"/>
  <c r="G420" i="34"/>
  <c r="C421" i="34"/>
  <c r="D420" i="34"/>
  <c r="E420" i="34" s="1"/>
  <c r="H420" i="34" s="1"/>
  <c r="G31" i="34"/>
  <c r="H30" i="34"/>
  <c r="G66" i="34"/>
  <c r="C67" i="34"/>
  <c r="D66" i="34"/>
  <c r="E66" i="34" s="1"/>
  <c r="H66" i="34" s="1"/>
  <c r="G421" i="34" l="1"/>
  <c r="C422" i="34"/>
  <c r="D421" i="34"/>
  <c r="E421" i="34" s="1"/>
  <c r="H421" i="34" s="1"/>
  <c r="G67" i="34"/>
  <c r="C68" i="34"/>
  <c r="D67" i="34"/>
  <c r="E67" i="34" s="1"/>
  <c r="H67" i="34" s="1"/>
  <c r="G248" i="34"/>
  <c r="C249" i="34"/>
  <c r="D248" i="34"/>
  <c r="E248" i="34" s="1"/>
  <c r="H248" i="34" s="1"/>
  <c r="G32" i="34"/>
  <c r="H31" i="34"/>
  <c r="H32" i="34" l="1"/>
  <c r="C423" i="34"/>
  <c r="D422" i="34"/>
  <c r="E422" i="34" s="1"/>
  <c r="H422" i="34" s="1"/>
  <c r="G422" i="34"/>
  <c r="G249" i="34"/>
  <c r="C250" i="34"/>
  <c r="D249" i="34"/>
  <c r="E249" i="34" s="1"/>
  <c r="H249" i="34" s="1"/>
  <c r="G68" i="34"/>
  <c r="C69" i="34"/>
  <c r="D68" i="34"/>
  <c r="E68" i="34" s="1"/>
  <c r="H68" i="34" s="1"/>
  <c r="C70" i="34" l="1"/>
  <c r="G69" i="34"/>
  <c r="D69" i="34"/>
  <c r="E69" i="34" s="1"/>
  <c r="H69" i="34" s="1"/>
  <c r="C251" i="34"/>
  <c r="D250" i="34"/>
  <c r="E250" i="34" s="1"/>
  <c r="H250" i="34" s="1"/>
  <c r="G250" i="34"/>
  <c r="G423" i="34"/>
  <c r="C424" i="34"/>
  <c r="D423" i="34"/>
  <c r="E423" i="34" s="1"/>
  <c r="H423" i="34" s="1"/>
  <c r="C252" i="34" l="1"/>
  <c r="D251" i="34"/>
  <c r="E251" i="34" s="1"/>
  <c r="H251" i="34" s="1"/>
  <c r="G251" i="34"/>
  <c r="C425" i="34"/>
  <c r="D424" i="34"/>
  <c r="E424" i="34" s="1"/>
  <c r="H424" i="34" s="1"/>
  <c r="G424" i="34"/>
  <c r="C71" i="34"/>
  <c r="G70" i="34"/>
  <c r="D70" i="34"/>
  <c r="E70" i="34" s="1"/>
  <c r="H70" i="34" s="1"/>
  <c r="G425" i="34" l="1"/>
  <c r="D425" i="34"/>
  <c r="E425" i="34" s="1"/>
  <c r="H425" i="34" s="1"/>
  <c r="C426" i="34"/>
  <c r="C72" i="34"/>
  <c r="G71" i="34"/>
  <c r="D71" i="34"/>
  <c r="E71" i="34" s="1"/>
  <c r="H71" i="34" s="1"/>
  <c r="C253" i="34"/>
  <c r="D252" i="34"/>
  <c r="E252" i="34" s="1"/>
  <c r="H252" i="34" s="1"/>
  <c r="G252" i="34"/>
  <c r="D253" i="34" l="1"/>
  <c r="E253" i="34" s="1"/>
  <c r="H253" i="34" s="1"/>
  <c r="G253" i="34"/>
  <c r="C254" i="34"/>
  <c r="G72" i="34"/>
  <c r="C73" i="34"/>
  <c r="D72" i="34"/>
  <c r="E72" i="34" s="1"/>
  <c r="H72" i="34" s="1"/>
  <c r="C427" i="34"/>
  <c r="D426" i="34"/>
  <c r="E426" i="34" s="1"/>
  <c r="H426" i="34" s="1"/>
  <c r="G426" i="34"/>
  <c r="G254" i="34" l="1"/>
  <c r="D254" i="34"/>
  <c r="E254" i="34" s="1"/>
  <c r="H254" i="34" s="1"/>
  <c r="C255" i="34"/>
  <c r="G427" i="34"/>
  <c r="C428" i="34"/>
  <c r="D427" i="34"/>
  <c r="E427" i="34" s="1"/>
  <c r="H427" i="34" s="1"/>
  <c r="G73" i="34"/>
  <c r="C74" i="34"/>
  <c r="D73" i="34"/>
  <c r="E73" i="34" s="1"/>
  <c r="H73" i="34" s="1"/>
  <c r="G255" i="34" l="1"/>
  <c r="C256" i="34"/>
  <c r="D255" i="34"/>
  <c r="E255" i="34" s="1"/>
  <c r="H255" i="34" s="1"/>
  <c r="G74" i="34"/>
  <c r="C75" i="34"/>
  <c r="D74" i="34"/>
  <c r="E74" i="34" s="1"/>
  <c r="H74" i="34" s="1"/>
  <c r="G428" i="34"/>
  <c r="C429" i="34"/>
  <c r="D428" i="34"/>
  <c r="E428" i="34" s="1"/>
  <c r="H428" i="34" s="1"/>
  <c r="C257" i="34" l="1"/>
  <c r="G256" i="34"/>
  <c r="D256" i="34"/>
  <c r="E256" i="34" s="1"/>
  <c r="H256" i="34" s="1"/>
  <c r="G429" i="34"/>
  <c r="C430" i="34"/>
  <c r="D429" i="34"/>
  <c r="E429" i="34" s="1"/>
  <c r="H429" i="34" s="1"/>
  <c r="G75" i="34"/>
  <c r="C76" i="34"/>
  <c r="D75" i="34"/>
  <c r="E75" i="34" s="1"/>
  <c r="H75" i="34" s="1"/>
  <c r="G76" i="34" l="1"/>
  <c r="C77" i="34"/>
  <c r="D76" i="34"/>
  <c r="E76" i="34" s="1"/>
  <c r="H76" i="34" s="1"/>
  <c r="C431" i="34"/>
  <c r="D430" i="34"/>
  <c r="E430" i="34" s="1"/>
  <c r="H430" i="34" s="1"/>
  <c r="G430" i="34"/>
  <c r="G257" i="34"/>
  <c r="C258" i="34"/>
  <c r="D257" i="34"/>
  <c r="E257" i="34" s="1"/>
  <c r="H257" i="34" s="1"/>
  <c r="G258" i="34" l="1"/>
  <c r="C259" i="34"/>
  <c r="D258" i="34"/>
  <c r="E258" i="34" s="1"/>
  <c r="H258" i="34" s="1"/>
  <c r="G431" i="34"/>
  <c r="C432" i="34"/>
  <c r="D431" i="34"/>
  <c r="E431" i="34" s="1"/>
  <c r="H431" i="34" s="1"/>
  <c r="G77" i="34"/>
  <c r="C78" i="34"/>
  <c r="D77" i="34"/>
  <c r="E77" i="34" s="1"/>
  <c r="H77" i="34" s="1"/>
  <c r="G78" i="34" l="1"/>
  <c r="C79" i="34"/>
  <c r="D78" i="34"/>
  <c r="E78" i="34" s="1"/>
  <c r="H78" i="34" s="1"/>
  <c r="G259" i="34"/>
  <c r="C260" i="34"/>
  <c r="D259" i="34"/>
  <c r="E259" i="34" s="1"/>
  <c r="H259" i="34" s="1"/>
  <c r="C433" i="34"/>
  <c r="D432" i="34"/>
  <c r="E432" i="34" s="1"/>
  <c r="H432" i="34" s="1"/>
  <c r="G432" i="34"/>
  <c r="C434" i="34" l="1"/>
  <c r="G433" i="34"/>
  <c r="D433" i="34"/>
  <c r="E433" i="34" s="1"/>
  <c r="H433" i="34" s="1"/>
  <c r="C261" i="34"/>
  <c r="D260" i="34"/>
  <c r="E260" i="34" s="1"/>
  <c r="H260" i="34" s="1"/>
  <c r="G260" i="34"/>
  <c r="C80" i="34"/>
  <c r="G79" i="34"/>
  <c r="D79" i="34"/>
  <c r="E79" i="34" s="1"/>
  <c r="H79" i="34" s="1"/>
  <c r="C81" i="34" l="1"/>
  <c r="G80" i="34"/>
  <c r="D80" i="34"/>
  <c r="E80" i="34" s="1"/>
  <c r="H80" i="34" s="1"/>
  <c r="G261" i="34"/>
  <c r="C262" i="34"/>
  <c r="D261" i="34"/>
  <c r="E261" i="34" s="1"/>
  <c r="H261" i="34" s="1"/>
  <c r="C435" i="34"/>
  <c r="D434" i="34"/>
  <c r="E434" i="34" s="1"/>
  <c r="H434" i="34" s="1"/>
  <c r="G434" i="34"/>
  <c r="G435" i="34" l="1"/>
  <c r="D435" i="34"/>
  <c r="E435" i="34" s="1"/>
  <c r="H435" i="34" s="1"/>
  <c r="C436" i="34"/>
  <c r="C263" i="34"/>
  <c r="D262" i="34"/>
  <c r="E262" i="34" s="1"/>
  <c r="H262" i="34" s="1"/>
  <c r="G262" i="34"/>
  <c r="C82" i="34"/>
  <c r="G81" i="34"/>
  <c r="D81" i="34"/>
  <c r="E81" i="34" s="1"/>
  <c r="H81" i="34" s="1"/>
  <c r="G436" i="34" l="1"/>
  <c r="D436" i="34"/>
  <c r="E436" i="34" s="1"/>
  <c r="H436" i="34" s="1"/>
  <c r="C437" i="34"/>
  <c r="C83" i="34"/>
  <c r="G82" i="34"/>
  <c r="D82" i="34"/>
  <c r="E82" i="34" s="1"/>
  <c r="H82" i="34" s="1"/>
  <c r="G263" i="34"/>
  <c r="C264" i="34"/>
  <c r="D263" i="34"/>
  <c r="E263" i="34" s="1"/>
  <c r="H263" i="34" s="1"/>
  <c r="C265" i="34" l="1"/>
  <c r="D264" i="34"/>
  <c r="E264" i="34" s="1"/>
  <c r="H264" i="34" s="1"/>
  <c r="G264" i="34"/>
  <c r="C84" i="34"/>
  <c r="G83" i="34"/>
  <c r="D83" i="34"/>
  <c r="E83" i="34" s="1"/>
  <c r="H83" i="34" s="1"/>
  <c r="C438" i="34"/>
  <c r="G437" i="34"/>
  <c r="D437" i="34"/>
  <c r="E437" i="34" s="1"/>
  <c r="H437" i="34" s="1"/>
  <c r="C85" i="34" l="1"/>
  <c r="G84" i="34"/>
  <c r="D84" i="34"/>
  <c r="E84" i="34" s="1"/>
  <c r="H84" i="34" s="1"/>
  <c r="G438" i="34"/>
  <c r="C439" i="34"/>
  <c r="D438" i="34"/>
  <c r="E438" i="34" s="1"/>
  <c r="H438" i="34" s="1"/>
  <c r="G265" i="34"/>
  <c r="C266" i="34"/>
  <c r="D265" i="34"/>
  <c r="E265" i="34" s="1"/>
  <c r="H265" i="34" s="1"/>
  <c r="G266" i="34" l="1"/>
  <c r="C267" i="34"/>
  <c r="D266" i="34"/>
  <c r="E266" i="34" s="1"/>
  <c r="H266" i="34" s="1"/>
  <c r="C440" i="34"/>
  <c r="D439" i="34"/>
  <c r="E439" i="34" s="1"/>
  <c r="H439" i="34" s="1"/>
  <c r="G439" i="34"/>
  <c r="G85" i="34"/>
  <c r="C86" i="34"/>
  <c r="D85" i="34"/>
  <c r="E85" i="34" s="1"/>
  <c r="H85" i="34" s="1"/>
  <c r="G267" i="34" l="1"/>
  <c r="C268" i="34"/>
  <c r="D267" i="34"/>
  <c r="E267" i="34" s="1"/>
  <c r="H267" i="34" s="1"/>
  <c r="C87" i="34"/>
  <c r="G86" i="34"/>
  <c r="D86" i="34"/>
  <c r="E86" i="34" s="1"/>
  <c r="H86" i="34" s="1"/>
  <c r="C441" i="34"/>
  <c r="G440" i="34"/>
  <c r="D440" i="34"/>
  <c r="E440" i="34" s="1"/>
  <c r="H440" i="34" s="1"/>
  <c r="C269" i="34" l="1"/>
  <c r="D268" i="34"/>
  <c r="E268" i="34" s="1"/>
  <c r="H268" i="34" s="1"/>
  <c r="G268" i="34"/>
  <c r="C442" i="34"/>
  <c r="D441" i="34"/>
  <c r="E441" i="34" s="1"/>
  <c r="H441" i="34" s="1"/>
  <c r="G441" i="34"/>
  <c r="C88" i="34"/>
  <c r="G87" i="34"/>
  <c r="D87" i="34"/>
  <c r="E87" i="34" s="1"/>
  <c r="H87" i="34" s="1"/>
  <c r="C89" i="34" l="1"/>
  <c r="G88" i="34"/>
  <c r="D88" i="34"/>
  <c r="E88" i="34" s="1"/>
  <c r="H88" i="34" s="1"/>
  <c r="C443" i="34"/>
  <c r="D442" i="34"/>
  <c r="E442" i="34" s="1"/>
  <c r="H442" i="34" s="1"/>
  <c r="G442" i="34"/>
  <c r="G269" i="34"/>
  <c r="C270" i="34"/>
  <c r="D269" i="34"/>
  <c r="E269" i="34" s="1"/>
  <c r="H269" i="34" s="1"/>
  <c r="C271" i="34" l="1"/>
  <c r="D270" i="34"/>
  <c r="E270" i="34" s="1"/>
  <c r="H270" i="34" s="1"/>
  <c r="G270" i="34"/>
  <c r="G443" i="34"/>
  <c r="C444" i="34"/>
  <c r="D443" i="34"/>
  <c r="E443" i="34" s="1"/>
  <c r="H443" i="34" s="1"/>
  <c r="G89" i="34"/>
  <c r="C90" i="34"/>
  <c r="D89" i="34"/>
  <c r="E89" i="34" s="1"/>
  <c r="H89" i="34" s="1"/>
  <c r="G90" i="34" l="1"/>
  <c r="C91" i="34"/>
  <c r="D90" i="34"/>
  <c r="E90" i="34" s="1"/>
  <c r="H90" i="34" s="1"/>
  <c r="G444" i="34"/>
  <c r="C445" i="34"/>
  <c r="D444" i="34"/>
  <c r="E444" i="34" s="1"/>
  <c r="H444" i="34" s="1"/>
  <c r="G271" i="34"/>
  <c r="C272" i="34"/>
  <c r="D271" i="34"/>
  <c r="E271" i="34" s="1"/>
  <c r="H271" i="34" s="1"/>
  <c r="C92" i="34" l="1"/>
  <c r="G91" i="34"/>
  <c r="D91" i="34"/>
  <c r="E91" i="34" s="1"/>
  <c r="H91" i="34" s="1"/>
  <c r="C273" i="34"/>
  <c r="D272" i="34"/>
  <c r="E272" i="34" s="1"/>
  <c r="H272" i="34" s="1"/>
  <c r="G272" i="34"/>
  <c r="G445" i="34"/>
  <c r="C446" i="34"/>
  <c r="D445" i="34"/>
  <c r="E445" i="34" s="1"/>
  <c r="H445" i="34" s="1"/>
  <c r="G273" i="34" l="1"/>
  <c r="C274" i="34"/>
  <c r="D273" i="34"/>
  <c r="E273" i="34" s="1"/>
  <c r="H273" i="34" s="1"/>
  <c r="G446" i="34"/>
  <c r="C447" i="34"/>
  <c r="D446" i="34"/>
  <c r="E446" i="34" s="1"/>
  <c r="H446" i="34" s="1"/>
  <c r="C93" i="34"/>
  <c r="G92" i="34"/>
  <c r="D92" i="34"/>
  <c r="E92" i="34" s="1"/>
  <c r="H92" i="34" s="1"/>
  <c r="G93" i="34" l="1"/>
  <c r="C94" i="34"/>
  <c r="D93" i="34"/>
  <c r="E93" i="34" s="1"/>
  <c r="H93" i="34" s="1"/>
  <c r="G274" i="34"/>
  <c r="C275" i="34"/>
  <c r="D274" i="34"/>
  <c r="E274" i="34" s="1"/>
  <c r="H274" i="34" s="1"/>
  <c r="C448" i="34"/>
  <c r="D447" i="34"/>
  <c r="E447" i="34" s="1"/>
  <c r="H447" i="34" s="1"/>
  <c r="G447" i="34"/>
  <c r="G275" i="34" l="1"/>
  <c r="D275" i="34"/>
  <c r="E275" i="34" s="1"/>
  <c r="H275" i="34" s="1"/>
  <c r="C276" i="34"/>
  <c r="C449" i="34"/>
  <c r="D448" i="34"/>
  <c r="E448" i="34" s="1"/>
  <c r="H448" i="34" s="1"/>
  <c r="G448" i="34"/>
  <c r="G94" i="34"/>
  <c r="C95" i="34"/>
  <c r="D94" i="34"/>
  <c r="E94" i="34" s="1"/>
  <c r="H94" i="34" s="1"/>
  <c r="C96" i="34" l="1"/>
  <c r="G95" i="34"/>
  <c r="D95" i="34"/>
  <c r="E95" i="34" s="1"/>
  <c r="H95" i="34" s="1"/>
  <c r="C450" i="34"/>
  <c r="D449" i="34"/>
  <c r="E449" i="34" s="1"/>
  <c r="H449" i="34" s="1"/>
  <c r="G449" i="34"/>
  <c r="C277" i="34"/>
  <c r="D276" i="34"/>
  <c r="E276" i="34" s="1"/>
  <c r="H276" i="34" s="1"/>
  <c r="G276" i="34"/>
  <c r="G277" i="34" l="1"/>
  <c r="C278" i="34"/>
  <c r="D277" i="34"/>
  <c r="E277" i="34" s="1"/>
  <c r="H277" i="34" s="1"/>
  <c r="G450" i="34"/>
  <c r="C451" i="34"/>
  <c r="D450" i="34"/>
  <c r="E450" i="34" s="1"/>
  <c r="H450" i="34" s="1"/>
  <c r="C97" i="34"/>
  <c r="G96" i="34"/>
  <c r="D96" i="34"/>
  <c r="E96" i="34" s="1"/>
  <c r="H96" i="34" s="1"/>
  <c r="G97" i="34" l="1"/>
  <c r="C98" i="34"/>
  <c r="D97" i="34"/>
  <c r="E97" i="34" s="1"/>
  <c r="H97" i="34" s="1"/>
  <c r="C279" i="34"/>
  <c r="D278" i="34"/>
  <c r="E278" i="34" s="1"/>
  <c r="H278" i="34" s="1"/>
  <c r="G278" i="34"/>
  <c r="G451" i="34"/>
  <c r="D451" i="34"/>
  <c r="E451" i="34" s="1"/>
  <c r="H451" i="34" s="1"/>
  <c r="C452" i="34"/>
  <c r="G98" i="34" l="1"/>
  <c r="C99" i="34"/>
  <c r="D98" i="34"/>
  <c r="E98" i="34" s="1"/>
  <c r="H98" i="34" s="1"/>
  <c r="G279" i="34"/>
  <c r="D279" i="34"/>
  <c r="E279" i="34" s="1"/>
  <c r="H279" i="34" s="1"/>
  <c r="C280" i="34"/>
  <c r="G452" i="34"/>
  <c r="D452" i="34"/>
  <c r="E452" i="34" s="1"/>
  <c r="H452" i="34" s="1"/>
  <c r="C453" i="34"/>
  <c r="C281" i="34" l="1"/>
  <c r="D280" i="34"/>
  <c r="E280" i="34" s="1"/>
  <c r="H280" i="34" s="1"/>
  <c r="G280" i="34"/>
  <c r="C100" i="34"/>
  <c r="G99" i="34"/>
  <c r="D99" i="34"/>
  <c r="E99" i="34" s="1"/>
  <c r="H99" i="34" s="1"/>
  <c r="G453" i="34"/>
  <c r="C454" i="34"/>
  <c r="D453" i="34"/>
  <c r="E453" i="34" s="1"/>
  <c r="H453" i="34" s="1"/>
  <c r="G454" i="34" l="1"/>
  <c r="C455" i="34"/>
  <c r="D454" i="34"/>
  <c r="E454" i="34" s="1"/>
  <c r="H454" i="34" s="1"/>
  <c r="C101" i="34"/>
  <c r="G100" i="34"/>
  <c r="D100" i="34"/>
  <c r="E100" i="34" s="1"/>
  <c r="H100" i="34" s="1"/>
  <c r="G281" i="34"/>
  <c r="C282" i="34"/>
  <c r="D281" i="34"/>
  <c r="E281" i="34" s="1"/>
  <c r="H281" i="34" s="1"/>
  <c r="G282" i="34" l="1"/>
  <c r="C283" i="34"/>
  <c r="D282" i="34"/>
  <c r="E282" i="34" s="1"/>
  <c r="H282" i="34" s="1"/>
  <c r="G101" i="34"/>
  <c r="C102" i="34"/>
  <c r="D101" i="34"/>
  <c r="E101" i="34" s="1"/>
  <c r="H101" i="34" s="1"/>
  <c r="C456" i="34"/>
  <c r="D455" i="34"/>
  <c r="E455" i="34" s="1"/>
  <c r="H455" i="34" s="1"/>
  <c r="G455" i="34"/>
  <c r="G283" i="34" l="1"/>
  <c r="D283" i="34"/>
  <c r="E283" i="34" s="1"/>
  <c r="H283" i="34" s="1"/>
  <c r="C284" i="34"/>
  <c r="C457" i="34"/>
  <c r="D456" i="34"/>
  <c r="E456" i="34" s="1"/>
  <c r="H456" i="34" s="1"/>
  <c r="G456" i="34"/>
  <c r="G102" i="34"/>
  <c r="C103" i="34"/>
  <c r="D102" i="34"/>
  <c r="E102" i="34" s="1"/>
  <c r="H102" i="34" s="1"/>
  <c r="C458" i="34" l="1"/>
  <c r="D457" i="34"/>
  <c r="E457" i="34" s="1"/>
  <c r="H457" i="34" s="1"/>
  <c r="G457" i="34"/>
  <c r="C104" i="34"/>
  <c r="G103" i="34"/>
  <c r="D103" i="34"/>
  <c r="E103" i="34" s="1"/>
  <c r="H103" i="34" s="1"/>
  <c r="C285" i="34"/>
  <c r="D284" i="34"/>
  <c r="E284" i="34" s="1"/>
  <c r="H284" i="34" s="1"/>
  <c r="G284" i="34"/>
  <c r="G285" i="34" l="1"/>
  <c r="C286" i="34"/>
  <c r="D285" i="34"/>
  <c r="E285" i="34" s="1"/>
  <c r="H285" i="34" s="1"/>
  <c r="C105" i="34"/>
  <c r="G104" i="34"/>
  <c r="D104" i="34"/>
  <c r="E104" i="34" s="1"/>
  <c r="H104" i="34" s="1"/>
  <c r="G458" i="34"/>
  <c r="C459" i="34"/>
  <c r="D458" i="34"/>
  <c r="E458" i="34" s="1"/>
  <c r="H458" i="34" s="1"/>
  <c r="G105" i="34" l="1"/>
  <c r="C106" i="34"/>
  <c r="D105" i="34"/>
  <c r="E105" i="34" s="1"/>
  <c r="H105" i="34" s="1"/>
  <c r="C287" i="34"/>
  <c r="D286" i="34"/>
  <c r="E286" i="34" s="1"/>
  <c r="H286" i="34" s="1"/>
  <c r="G286" i="34"/>
  <c r="G459" i="34"/>
  <c r="C460" i="34"/>
  <c r="D459" i="34"/>
  <c r="E459" i="34" s="1"/>
  <c r="H459" i="34" s="1"/>
  <c r="G460" i="34" l="1"/>
  <c r="C461" i="34"/>
  <c r="D460" i="34"/>
  <c r="E460" i="34" s="1"/>
  <c r="H460" i="34" s="1"/>
  <c r="G287" i="34"/>
  <c r="D287" i="34"/>
  <c r="E287" i="34" s="1"/>
  <c r="H287" i="34" s="1"/>
  <c r="C288" i="34"/>
  <c r="G106" i="34"/>
  <c r="C107" i="34"/>
  <c r="D106" i="34"/>
  <c r="E106" i="34" s="1"/>
  <c r="H106" i="34" s="1"/>
  <c r="C108" i="34" l="1"/>
  <c r="G107" i="34"/>
  <c r="D107" i="34"/>
  <c r="E107" i="34" s="1"/>
  <c r="H107" i="34" s="1"/>
  <c r="G461" i="34"/>
  <c r="C462" i="34"/>
  <c r="D461" i="34"/>
  <c r="E461" i="34" s="1"/>
  <c r="H461" i="34" s="1"/>
  <c r="C289" i="34"/>
  <c r="D288" i="34"/>
  <c r="E288" i="34" s="1"/>
  <c r="H288" i="34" s="1"/>
  <c r="G288" i="34"/>
  <c r="G289" i="34" l="1"/>
  <c r="C290" i="34"/>
  <c r="D289" i="34"/>
  <c r="E289" i="34" s="1"/>
  <c r="H289" i="34" s="1"/>
  <c r="G462" i="34"/>
  <c r="C463" i="34"/>
  <c r="D462" i="34"/>
  <c r="E462" i="34" s="1"/>
  <c r="H462" i="34" s="1"/>
  <c r="C109" i="34"/>
  <c r="G108" i="34"/>
  <c r="D108" i="34"/>
  <c r="E108" i="34" s="1"/>
  <c r="H108" i="34" s="1"/>
  <c r="G109" i="34" l="1"/>
  <c r="C110" i="34"/>
  <c r="D109" i="34"/>
  <c r="E109" i="34" s="1"/>
  <c r="H109" i="34" s="1"/>
  <c r="C464" i="34"/>
  <c r="D463" i="34"/>
  <c r="E463" i="34" s="1"/>
  <c r="H463" i="34" s="1"/>
  <c r="G463" i="34"/>
  <c r="G290" i="34"/>
  <c r="C291" i="34"/>
  <c r="D290" i="34"/>
  <c r="E290" i="34" s="1"/>
  <c r="H290" i="34" s="1"/>
  <c r="C465" i="34" l="1"/>
  <c r="D464" i="34"/>
  <c r="E464" i="34" s="1"/>
  <c r="H464" i="34" s="1"/>
  <c r="G464" i="34"/>
  <c r="G110" i="34"/>
  <c r="C111" i="34"/>
  <c r="D110" i="34"/>
  <c r="E110" i="34" s="1"/>
  <c r="H110" i="34" s="1"/>
  <c r="G291" i="34"/>
  <c r="C292" i="34"/>
  <c r="D291" i="34"/>
  <c r="E291" i="34" s="1"/>
  <c r="H291" i="34" s="1"/>
  <c r="C293" i="34" l="1"/>
  <c r="D292" i="34"/>
  <c r="E292" i="34" s="1"/>
  <c r="H292" i="34" s="1"/>
  <c r="G292" i="34"/>
  <c r="C112" i="34"/>
  <c r="G111" i="34"/>
  <c r="D111" i="34"/>
  <c r="E111" i="34" s="1"/>
  <c r="H111" i="34" s="1"/>
  <c r="C466" i="34"/>
  <c r="D465" i="34"/>
  <c r="E465" i="34" s="1"/>
  <c r="H465" i="34" s="1"/>
  <c r="G465" i="34"/>
  <c r="G466" i="34" l="1"/>
  <c r="C467" i="34"/>
  <c r="D466" i="34"/>
  <c r="E466" i="34" s="1"/>
  <c r="H466" i="34" s="1"/>
  <c r="C113" i="34"/>
  <c r="G112" i="34"/>
  <c r="D112" i="34"/>
  <c r="E112" i="34" s="1"/>
  <c r="H112" i="34" s="1"/>
  <c r="G293" i="34"/>
  <c r="C294" i="34"/>
  <c r="D293" i="34"/>
  <c r="E293" i="34" s="1"/>
  <c r="H293" i="34" s="1"/>
  <c r="C295" i="34" l="1"/>
  <c r="D294" i="34"/>
  <c r="E294" i="34" s="1"/>
  <c r="H294" i="34" s="1"/>
  <c r="G294" i="34"/>
  <c r="G113" i="34"/>
  <c r="C114" i="34"/>
  <c r="D113" i="34"/>
  <c r="E113" i="34" s="1"/>
  <c r="H113" i="34" s="1"/>
  <c r="G467" i="34"/>
  <c r="C468" i="34"/>
  <c r="D467" i="34"/>
  <c r="E467" i="34" s="1"/>
  <c r="H467" i="34" s="1"/>
  <c r="G468" i="34" l="1"/>
  <c r="D468" i="34"/>
  <c r="E468" i="34" s="1"/>
  <c r="H468" i="34" s="1"/>
  <c r="C469" i="34"/>
  <c r="G114" i="34"/>
  <c r="C115" i="34"/>
  <c r="D114" i="34"/>
  <c r="E114" i="34" s="1"/>
  <c r="H114" i="34" s="1"/>
  <c r="G295" i="34"/>
  <c r="C296" i="34"/>
  <c r="D295" i="34"/>
  <c r="E295" i="34" s="1"/>
  <c r="H295" i="34" s="1"/>
  <c r="C297" i="34" l="1"/>
  <c r="D296" i="34"/>
  <c r="E296" i="34" s="1"/>
  <c r="H296" i="34" s="1"/>
  <c r="G296" i="34"/>
  <c r="C116" i="34"/>
  <c r="G115" i="34"/>
  <c r="D115" i="34"/>
  <c r="E115" i="34" s="1"/>
  <c r="H115" i="34" s="1"/>
  <c r="G469" i="34"/>
  <c r="C470" i="34"/>
  <c r="D469" i="34"/>
  <c r="E469" i="34" s="1"/>
  <c r="H469" i="34" s="1"/>
  <c r="G470" i="34" l="1"/>
  <c r="C471" i="34"/>
  <c r="D470" i="34"/>
  <c r="E470" i="34" s="1"/>
  <c r="H470" i="34" s="1"/>
  <c r="C117" i="34"/>
  <c r="G116" i="34"/>
  <c r="D116" i="34"/>
  <c r="E116" i="34" s="1"/>
  <c r="H116" i="34" s="1"/>
  <c r="G297" i="34"/>
  <c r="C298" i="34"/>
  <c r="D297" i="34"/>
  <c r="E297" i="34" s="1"/>
  <c r="H297" i="34" s="1"/>
  <c r="G298" i="34" l="1"/>
  <c r="C299" i="34"/>
  <c r="D298" i="34"/>
  <c r="E298" i="34" s="1"/>
  <c r="H298" i="34" s="1"/>
  <c r="C472" i="34"/>
  <c r="D471" i="34"/>
  <c r="E471" i="34" s="1"/>
  <c r="H471" i="34" s="1"/>
  <c r="G471" i="34"/>
  <c r="C118" i="34"/>
  <c r="G117" i="34"/>
  <c r="D117" i="34"/>
  <c r="E117" i="34" s="1"/>
  <c r="H117" i="34" s="1"/>
  <c r="G118" i="34" l="1"/>
  <c r="C119" i="34"/>
  <c r="D118" i="34"/>
  <c r="E118" i="34" s="1"/>
  <c r="H118" i="34" s="1"/>
  <c r="G299" i="34"/>
  <c r="C300" i="34"/>
  <c r="D299" i="34"/>
  <c r="E299" i="34" s="1"/>
  <c r="H299" i="34" s="1"/>
  <c r="C473" i="34"/>
  <c r="D472" i="34"/>
  <c r="E472" i="34" s="1"/>
  <c r="H472" i="34" s="1"/>
  <c r="G472" i="34"/>
  <c r="C474" i="34" l="1"/>
  <c r="D473" i="34"/>
  <c r="E473" i="34" s="1"/>
  <c r="H473" i="34" s="1"/>
  <c r="G473" i="34"/>
  <c r="C301" i="34"/>
  <c r="D300" i="34"/>
  <c r="E300" i="34" s="1"/>
  <c r="H300" i="34" s="1"/>
  <c r="G300" i="34"/>
  <c r="C120" i="34"/>
  <c r="G119" i="34"/>
  <c r="D119" i="34"/>
  <c r="E119" i="34" s="1"/>
  <c r="H119" i="34" s="1"/>
  <c r="G120" i="34" l="1"/>
  <c r="C121" i="34"/>
  <c r="D120" i="34"/>
  <c r="E120" i="34" s="1"/>
  <c r="H120" i="34" s="1"/>
  <c r="G301" i="34"/>
  <c r="C302" i="34"/>
  <c r="D301" i="34"/>
  <c r="E301" i="34" s="1"/>
  <c r="H301" i="34" s="1"/>
  <c r="G474" i="34"/>
  <c r="C475" i="34"/>
  <c r="D474" i="34"/>
  <c r="E474" i="34" s="1"/>
  <c r="H474" i="34" s="1"/>
  <c r="C122" i="34" l="1"/>
  <c r="G121" i="34"/>
  <c r="D121" i="34"/>
  <c r="E121" i="34" s="1"/>
  <c r="H121" i="34" s="1"/>
  <c r="G475" i="34"/>
  <c r="C476" i="34"/>
  <c r="D475" i="34"/>
  <c r="E475" i="34" s="1"/>
  <c r="H475" i="34" s="1"/>
  <c r="C303" i="34"/>
  <c r="D302" i="34"/>
  <c r="E302" i="34" s="1"/>
  <c r="H302" i="34" s="1"/>
  <c r="G302" i="34"/>
  <c r="G303" i="34" l="1"/>
  <c r="C304" i="34"/>
  <c r="D303" i="34"/>
  <c r="E303" i="34" s="1"/>
  <c r="H303" i="34" s="1"/>
  <c r="G476" i="34"/>
  <c r="C477" i="34"/>
  <c r="D476" i="34"/>
  <c r="E476" i="34" s="1"/>
  <c r="H476" i="34" s="1"/>
  <c r="G122" i="34"/>
  <c r="C123" i="34"/>
  <c r="D122" i="34"/>
  <c r="E122" i="34" s="1"/>
  <c r="H122" i="34" s="1"/>
  <c r="C124" i="34" l="1"/>
  <c r="G123" i="34"/>
  <c r="D123" i="34"/>
  <c r="E123" i="34" s="1"/>
  <c r="H123" i="34" s="1"/>
  <c r="G477" i="34"/>
  <c r="C478" i="34"/>
  <c r="D477" i="34"/>
  <c r="E477" i="34" s="1"/>
  <c r="H477" i="34" s="1"/>
  <c r="C305" i="34"/>
  <c r="D304" i="34"/>
  <c r="E304" i="34" s="1"/>
  <c r="H304" i="34" s="1"/>
  <c r="G304" i="34"/>
  <c r="G305" i="34" l="1"/>
  <c r="C306" i="34"/>
  <c r="D305" i="34"/>
  <c r="E305" i="34" s="1"/>
  <c r="H305" i="34" s="1"/>
  <c r="G478" i="34"/>
  <c r="C479" i="34"/>
  <c r="D478" i="34"/>
  <c r="E478" i="34" s="1"/>
  <c r="H478" i="34" s="1"/>
  <c r="G124" i="34"/>
  <c r="C125" i="34"/>
  <c r="D124" i="34"/>
  <c r="E124" i="34" s="1"/>
  <c r="H124" i="34" s="1"/>
  <c r="C126" i="34" l="1"/>
  <c r="G125" i="34"/>
  <c r="D125" i="34"/>
  <c r="E125" i="34" s="1"/>
  <c r="H125" i="34" s="1"/>
  <c r="C480" i="34"/>
  <c r="D479" i="34"/>
  <c r="E479" i="34" s="1"/>
  <c r="H479" i="34" s="1"/>
  <c r="G479" i="34"/>
  <c r="G306" i="34"/>
  <c r="C307" i="34"/>
  <c r="D306" i="34"/>
  <c r="E306" i="34" s="1"/>
  <c r="H306" i="34" s="1"/>
  <c r="C481" i="34" l="1"/>
  <c r="D480" i="34"/>
  <c r="E480" i="34" s="1"/>
  <c r="H480" i="34" s="1"/>
  <c r="G480" i="34"/>
  <c r="G307" i="34"/>
  <c r="D307" i="34"/>
  <c r="E307" i="34" s="1"/>
  <c r="H307" i="34" s="1"/>
  <c r="C308" i="34"/>
  <c r="G126" i="34"/>
  <c r="C127" i="34"/>
  <c r="D126" i="34"/>
  <c r="E126" i="34" s="1"/>
  <c r="H126" i="34" s="1"/>
  <c r="C128" i="34" l="1"/>
  <c r="G127" i="34"/>
  <c r="D127" i="34"/>
  <c r="E127" i="34" s="1"/>
  <c r="H127" i="34" s="1"/>
  <c r="C309" i="34"/>
  <c r="D308" i="34"/>
  <c r="E308" i="34" s="1"/>
  <c r="H308" i="34" s="1"/>
  <c r="G308" i="34"/>
  <c r="C482" i="34"/>
  <c r="D481" i="34"/>
  <c r="E481" i="34" s="1"/>
  <c r="H481" i="34" s="1"/>
  <c r="G481" i="34"/>
  <c r="G482" i="34" l="1"/>
  <c r="C483" i="34"/>
  <c r="D482" i="34"/>
  <c r="E482" i="34" s="1"/>
  <c r="H482" i="34" s="1"/>
  <c r="G309" i="34"/>
  <c r="C310" i="34"/>
  <c r="D309" i="34"/>
  <c r="E309" i="34" s="1"/>
  <c r="H309" i="34" s="1"/>
  <c r="G128" i="34"/>
  <c r="C129" i="34"/>
  <c r="D128" i="34"/>
  <c r="E128" i="34" s="1"/>
  <c r="H128" i="34" s="1"/>
  <c r="C311" i="34" l="1"/>
  <c r="D310" i="34"/>
  <c r="E310" i="34" s="1"/>
  <c r="H310" i="34" s="1"/>
  <c r="G310" i="34"/>
  <c r="G483" i="34"/>
  <c r="C484" i="34"/>
  <c r="D483" i="34"/>
  <c r="E483" i="34" s="1"/>
  <c r="H483" i="34" s="1"/>
  <c r="C130" i="34"/>
  <c r="G129" i="34"/>
  <c r="D129" i="34"/>
  <c r="E129" i="34" s="1"/>
  <c r="H129" i="34" s="1"/>
  <c r="G484" i="34" l="1"/>
  <c r="D484" i="34"/>
  <c r="E484" i="34" s="1"/>
  <c r="H484" i="34" s="1"/>
  <c r="C485" i="34"/>
  <c r="G130" i="34"/>
  <c r="C131" i="34"/>
  <c r="D130" i="34"/>
  <c r="E130" i="34" s="1"/>
  <c r="H130" i="34" s="1"/>
  <c r="G311" i="34"/>
  <c r="D311" i="34"/>
  <c r="E311" i="34" s="1"/>
  <c r="H311" i="34" s="1"/>
  <c r="C312" i="34"/>
  <c r="C132" i="34" l="1"/>
  <c r="G131" i="34"/>
  <c r="D131" i="34"/>
  <c r="E131" i="34" s="1"/>
  <c r="H131" i="34" s="1"/>
  <c r="G485" i="34"/>
  <c r="C486" i="34"/>
  <c r="D485" i="34"/>
  <c r="E485" i="34" s="1"/>
  <c r="H485" i="34" s="1"/>
  <c r="C313" i="34"/>
  <c r="D312" i="34"/>
  <c r="E312" i="34" s="1"/>
  <c r="H312" i="34" s="1"/>
  <c r="G312" i="34"/>
  <c r="G313" i="34" l="1"/>
  <c r="C314" i="34"/>
  <c r="D313" i="34"/>
  <c r="E313" i="34" s="1"/>
  <c r="H313" i="34" s="1"/>
  <c r="G486" i="34"/>
  <c r="C487" i="34"/>
  <c r="D486" i="34"/>
  <c r="E486" i="34" s="1"/>
  <c r="H486" i="34" s="1"/>
  <c r="G132" i="34"/>
  <c r="C133" i="34"/>
  <c r="D132" i="34"/>
  <c r="E132" i="34" s="1"/>
  <c r="H132" i="34" s="1"/>
  <c r="C488" i="34" l="1"/>
  <c r="D487" i="34"/>
  <c r="E487" i="34" s="1"/>
  <c r="H487" i="34" s="1"/>
  <c r="G487" i="34"/>
  <c r="C134" i="34"/>
  <c r="G133" i="34"/>
  <c r="D133" i="34"/>
  <c r="E133" i="34" s="1"/>
  <c r="H133" i="34" s="1"/>
  <c r="G314" i="34"/>
  <c r="C315" i="34"/>
  <c r="D314" i="34"/>
  <c r="E314" i="34" s="1"/>
  <c r="H314" i="34" s="1"/>
  <c r="G315" i="34" l="1"/>
  <c r="D315" i="34"/>
  <c r="E315" i="34" s="1"/>
  <c r="H315" i="34" s="1"/>
  <c r="C316" i="34"/>
  <c r="G134" i="34"/>
  <c r="C135" i="34"/>
  <c r="D134" i="34"/>
  <c r="E134" i="34" s="1"/>
  <c r="H134" i="34" s="1"/>
  <c r="C489" i="34"/>
  <c r="D488" i="34"/>
  <c r="E488" i="34" s="1"/>
  <c r="H488" i="34" s="1"/>
  <c r="G488" i="34"/>
  <c r="C490" i="34" l="1"/>
  <c r="D489" i="34"/>
  <c r="E489" i="34" s="1"/>
  <c r="H489" i="34" s="1"/>
  <c r="G489" i="34"/>
  <c r="C136" i="34"/>
  <c r="G135" i="34"/>
  <c r="D135" i="34"/>
  <c r="E135" i="34" s="1"/>
  <c r="H135" i="34" s="1"/>
  <c r="C317" i="34"/>
  <c r="D316" i="34"/>
  <c r="E316" i="34" s="1"/>
  <c r="H316" i="34" s="1"/>
  <c r="G316" i="34"/>
  <c r="G317" i="34" l="1"/>
  <c r="C318" i="34"/>
  <c r="D317" i="34"/>
  <c r="E317" i="34" s="1"/>
  <c r="H317" i="34" s="1"/>
  <c r="G136" i="34"/>
  <c r="C137" i="34"/>
  <c r="D136" i="34"/>
  <c r="E136" i="34" s="1"/>
  <c r="H136" i="34" s="1"/>
  <c r="G490" i="34"/>
  <c r="C491" i="34"/>
  <c r="D490" i="34"/>
  <c r="E490" i="34" s="1"/>
  <c r="H490" i="34" s="1"/>
  <c r="G491" i="34" l="1"/>
  <c r="C492" i="34"/>
  <c r="D491" i="34"/>
  <c r="E491" i="34" s="1"/>
  <c r="H491" i="34" s="1"/>
  <c r="C319" i="34"/>
  <c r="D318" i="34"/>
  <c r="E318" i="34" s="1"/>
  <c r="H318" i="34" s="1"/>
  <c r="G318" i="34"/>
  <c r="C138" i="34"/>
  <c r="G137" i="34"/>
  <c r="D137" i="34"/>
  <c r="E137" i="34" s="1"/>
  <c r="H137" i="34" s="1"/>
  <c r="G138" i="34" l="1"/>
  <c r="C139" i="34"/>
  <c r="D138" i="34"/>
  <c r="E138" i="34" s="1"/>
  <c r="H138" i="34" s="1"/>
  <c r="G319" i="34"/>
  <c r="D319" i="34"/>
  <c r="E319" i="34" s="1"/>
  <c r="H319" i="34" s="1"/>
  <c r="C320" i="34"/>
  <c r="G492" i="34"/>
  <c r="C493" i="34"/>
  <c r="D492" i="34"/>
  <c r="E492" i="34" s="1"/>
  <c r="H492" i="34" s="1"/>
  <c r="G493" i="34" l="1"/>
  <c r="C494" i="34"/>
  <c r="D493" i="34"/>
  <c r="E493" i="34" s="1"/>
  <c r="H493" i="34" s="1"/>
  <c r="C321" i="34"/>
  <c r="D320" i="34"/>
  <c r="E320" i="34" s="1"/>
  <c r="H320" i="34" s="1"/>
  <c r="G320" i="34"/>
  <c r="C140" i="34"/>
  <c r="G139" i="34"/>
  <c r="D139" i="34"/>
  <c r="E139" i="34" s="1"/>
  <c r="H139" i="34" s="1"/>
  <c r="G140" i="34" l="1"/>
  <c r="C141" i="34"/>
  <c r="D140" i="34"/>
  <c r="E140" i="34" s="1"/>
  <c r="H140" i="34" s="1"/>
  <c r="G321" i="34"/>
  <c r="C322" i="34"/>
  <c r="D321" i="34"/>
  <c r="E321" i="34" s="1"/>
  <c r="H321" i="34" s="1"/>
  <c r="G494" i="34"/>
  <c r="C495" i="34"/>
  <c r="D494" i="34"/>
  <c r="E494" i="34" s="1"/>
  <c r="H494" i="34" s="1"/>
  <c r="C496" i="34" l="1"/>
  <c r="D495" i="34"/>
  <c r="E495" i="34" s="1"/>
  <c r="H495" i="34" s="1"/>
  <c r="G495" i="34"/>
  <c r="C142" i="34"/>
  <c r="G141" i="34"/>
  <c r="D141" i="34"/>
  <c r="E141" i="34" s="1"/>
  <c r="H141" i="34" s="1"/>
  <c r="G322" i="34"/>
  <c r="C323" i="34"/>
  <c r="D322" i="34"/>
  <c r="E322" i="34" s="1"/>
  <c r="H322" i="34" s="1"/>
  <c r="G142" i="34" l="1"/>
  <c r="C143" i="34"/>
  <c r="D142" i="34"/>
  <c r="E142" i="34" s="1"/>
  <c r="H142" i="34" s="1"/>
  <c r="G323" i="34"/>
  <c r="C324" i="34"/>
  <c r="D323" i="34"/>
  <c r="E323" i="34" s="1"/>
  <c r="H323" i="34" s="1"/>
  <c r="C497" i="34"/>
  <c r="D496" i="34"/>
  <c r="E496" i="34" s="1"/>
  <c r="H496" i="34" s="1"/>
  <c r="G496" i="34"/>
  <c r="C498" i="34" l="1"/>
  <c r="D497" i="34"/>
  <c r="E497" i="34" s="1"/>
  <c r="H497" i="34" s="1"/>
  <c r="G497" i="34"/>
  <c r="D324" i="34"/>
  <c r="E324" i="34" s="1"/>
  <c r="H324" i="34" s="1"/>
  <c r="G324" i="34"/>
  <c r="C325" i="34"/>
  <c r="C144" i="34"/>
  <c r="G143" i="34"/>
  <c r="D143" i="34"/>
  <c r="E143" i="34" s="1"/>
  <c r="H143" i="34" s="1"/>
  <c r="D325" i="34" l="1"/>
  <c r="E325" i="34" s="1"/>
  <c r="H325" i="34" s="1"/>
  <c r="C326" i="34"/>
  <c r="G325" i="34"/>
  <c r="G144" i="34"/>
  <c r="C145" i="34"/>
  <c r="D144" i="34"/>
  <c r="E144" i="34" s="1"/>
  <c r="H144" i="34" s="1"/>
  <c r="G498" i="34"/>
  <c r="C499" i="34"/>
  <c r="D498" i="34"/>
  <c r="E498" i="34" s="1"/>
  <c r="H498" i="34" s="1"/>
  <c r="G499" i="34" l="1"/>
  <c r="C500" i="34"/>
  <c r="D499" i="34"/>
  <c r="E499" i="34" s="1"/>
  <c r="H499" i="34" s="1"/>
  <c r="C146" i="34"/>
  <c r="G145" i="34"/>
  <c r="D145" i="34"/>
  <c r="E145" i="34" s="1"/>
  <c r="H145" i="34" s="1"/>
  <c r="G326" i="34"/>
  <c r="D326" i="34"/>
  <c r="E326" i="34" s="1"/>
  <c r="H326" i="34" s="1"/>
  <c r="C327" i="34"/>
  <c r="G500" i="34" l="1"/>
  <c r="C501" i="34"/>
  <c r="D500" i="34"/>
  <c r="E500" i="34" s="1"/>
  <c r="H500" i="34" s="1"/>
  <c r="G146" i="34"/>
  <c r="C147" i="34"/>
  <c r="D146" i="34"/>
  <c r="E146" i="34" s="1"/>
  <c r="H146" i="34" s="1"/>
  <c r="C328" i="34"/>
  <c r="D327" i="34"/>
  <c r="E327" i="34" s="1"/>
  <c r="H327" i="34" s="1"/>
  <c r="G327" i="34"/>
  <c r="G328" i="34" l="1"/>
  <c r="C329" i="34"/>
  <c r="D328" i="34"/>
  <c r="E328" i="34" s="1"/>
  <c r="H328" i="34" s="1"/>
  <c r="C148" i="34"/>
  <c r="G147" i="34"/>
  <c r="D147" i="34"/>
  <c r="E147" i="34" s="1"/>
  <c r="H147" i="34" s="1"/>
  <c r="G501" i="34"/>
  <c r="C502" i="34"/>
  <c r="D501" i="34"/>
  <c r="E501" i="34" s="1"/>
  <c r="H501" i="34" s="1"/>
  <c r="G502" i="34" l="1"/>
  <c r="C503" i="34"/>
  <c r="D502" i="34"/>
  <c r="E502" i="34" s="1"/>
  <c r="H502" i="34" s="1"/>
  <c r="G148" i="34"/>
  <c r="C149" i="34"/>
  <c r="D148" i="34"/>
  <c r="E148" i="34" s="1"/>
  <c r="H148" i="34" s="1"/>
  <c r="C330" i="34"/>
  <c r="D329" i="34"/>
  <c r="E329" i="34" s="1"/>
  <c r="H329" i="34" s="1"/>
  <c r="G329" i="34"/>
  <c r="C504" i="34" l="1"/>
  <c r="D503" i="34"/>
  <c r="E503" i="34" s="1"/>
  <c r="H503" i="34" s="1"/>
  <c r="G503" i="34"/>
  <c r="G330" i="34"/>
  <c r="D330" i="34"/>
  <c r="E330" i="34" s="1"/>
  <c r="H330" i="34" s="1"/>
  <c r="C331" i="34"/>
  <c r="C150" i="34"/>
  <c r="G149" i="34"/>
  <c r="D149" i="34"/>
  <c r="E149" i="34" s="1"/>
  <c r="H149" i="34" s="1"/>
  <c r="G150" i="34" l="1"/>
  <c r="C151" i="34"/>
  <c r="D150" i="34"/>
  <c r="E150" i="34" s="1"/>
  <c r="H150" i="34" s="1"/>
  <c r="C332" i="34"/>
  <c r="D331" i="34"/>
  <c r="E331" i="34" s="1"/>
  <c r="H331" i="34" s="1"/>
  <c r="G331" i="34"/>
  <c r="C505" i="34"/>
  <c r="D504" i="34"/>
  <c r="E504" i="34" s="1"/>
  <c r="H504" i="34" s="1"/>
  <c r="G504" i="34"/>
  <c r="C506" i="34" l="1"/>
  <c r="D505" i="34"/>
  <c r="E505" i="34" s="1"/>
  <c r="H505" i="34" s="1"/>
  <c r="G505" i="34"/>
  <c r="C152" i="34"/>
  <c r="G151" i="34"/>
  <c r="D151" i="34"/>
  <c r="E151" i="34" s="1"/>
  <c r="H151" i="34" s="1"/>
  <c r="G332" i="34"/>
  <c r="C333" i="34"/>
  <c r="D332" i="34"/>
  <c r="E332" i="34" s="1"/>
  <c r="H332" i="34" s="1"/>
  <c r="G333" i="34" l="1"/>
  <c r="C334" i="34"/>
  <c r="D333" i="34"/>
  <c r="E333" i="34" s="1"/>
  <c r="H333" i="34" s="1"/>
  <c r="G152" i="34"/>
  <c r="C153" i="34"/>
  <c r="D152" i="34"/>
  <c r="E152" i="34" s="1"/>
  <c r="H152" i="34" s="1"/>
  <c r="G506" i="34"/>
  <c r="C507" i="34"/>
  <c r="D506" i="34"/>
  <c r="E506" i="34" s="1"/>
  <c r="H506" i="34" s="1"/>
  <c r="G507" i="34" l="1"/>
  <c r="C508" i="34"/>
  <c r="D507" i="34"/>
  <c r="E507" i="34" s="1"/>
  <c r="H507" i="34" s="1"/>
  <c r="G334" i="34"/>
  <c r="C335" i="34"/>
  <c r="D334" i="34"/>
  <c r="E334" i="34" s="1"/>
  <c r="H334" i="34" s="1"/>
  <c r="C154" i="34"/>
  <c r="G153" i="34"/>
  <c r="D153" i="34"/>
  <c r="E153" i="34" s="1"/>
  <c r="H153" i="34" s="1"/>
  <c r="G508" i="34" l="1"/>
  <c r="C509" i="34"/>
  <c r="D508" i="34"/>
  <c r="E508" i="34" s="1"/>
  <c r="H508" i="34" s="1"/>
  <c r="G154" i="34"/>
  <c r="C155" i="34"/>
  <c r="D154" i="34"/>
  <c r="E154" i="34" s="1"/>
  <c r="H154" i="34" s="1"/>
  <c r="C336" i="34"/>
  <c r="D335" i="34"/>
  <c r="E335" i="34" s="1"/>
  <c r="H335" i="34" s="1"/>
  <c r="G335" i="34"/>
  <c r="C156" i="34" l="1"/>
  <c r="G155" i="34"/>
  <c r="D155" i="34"/>
  <c r="E155" i="34" s="1"/>
  <c r="H155" i="34" s="1"/>
  <c r="G509" i="34"/>
  <c r="C510" i="34"/>
  <c r="D509" i="34"/>
  <c r="E509" i="34" s="1"/>
  <c r="H509" i="34" s="1"/>
  <c r="G336" i="34"/>
  <c r="C337" i="34"/>
  <c r="D336" i="34"/>
  <c r="E336" i="34" s="1"/>
  <c r="H336" i="34" s="1"/>
  <c r="C338" i="34" l="1"/>
  <c r="D337" i="34"/>
  <c r="E337" i="34" s="1"/>
  <c r="H337" i="34" s="1"/>
  <c r="G337" i="34"/>
  <c r="G510" i="34"/>
  <c r="C511" i="34"/>
  <c r="D510" i="34"/>
  <c r="E510" i="34" s="1"/>
  <c r="H510" i="34" s="1"/>
  <c r="G156" i="34"/>
  <c r="C157" i="34"/>
  <c r="D156" i="34"/>
  <c r="E156" i="34" s="1"/>
  <c r="H156" i="34" s="1"/>
  <c r="C158" i="34" l="1"/>
  <c r="G157" i="34"/>
  <c r="D157" i="34"/>
  <c r="E157" i="34" s="1"/>
  <c r="H157" i="34" s="1"/>
  <c r="C512" i="34"/>
  <c r="D511" i="34"/>
  <c r="E511" i="34" s="1"/>
  <c r="H511" i="34" s="1"/>
  <c r="G511" i="34"/>
  <c r="G338" i="34"/>
  <c r="D338" i="34"/>
  <c r="E338" i="34" s="1"/>
  <c r="H338" i="34" s="1"/>
  <c r="C339" i="34"/>
  <c r="C513" i="34" l="1"/>
  <c r="D512" i="34"/>
  <c r="E512" i="34" s="1"/>
  <c r="H512" i="34" s="1"/>
  <c r="G512" i="34"/>
  <c r="C340" i="34"/>
  <c r="D339" i="34"/>
  <c r="E339" i="34" s="1"/>
  <c r="H339" i="34" s="1"/>
  <c r="G339" i="34"/>
  <c r="C159" i="34"/>
  <c r="G158" i="34"/>
  <c r="D158" i="34"/>
  <c r="E158" i="34" s="1"/>
  <c r="H158" i="34" s="1"/>
  <c r="C160" i="34" l="1"/>
  <c r="G159" i="34"/>
  <c r="D159" i="34"/>
  <c r="E159" i="34" s="1"/>
  <c r="H159" i="34" s="1"/>
  <c r="G340" i="34"/>
  <c r="C341" i="34"/>
  <c r="D340" i="34"/>
  <c r="E340" i="34" s="1"/>
  <c r="H340" i="34" s="1"/>
  <c r="C514" i="34"/>
  <c r="D513" i="34"/>
  <c r="E513" i="34" s="1"/>
  <c r="H513" i="34" s="1"/>
  <c r="G513" i="34"/>
  <c r="G514" i="34" l="1"/>
  <c r="C515" i="34"/>
  <c r="D514" i="34"/>
  <c r="E514" i="34" s="1"/>
  <c r="H514" i="34" s="1"/>
  <c r="G341" i="34"/>
  <c r="C342" i="34"/>
  <c r="D341" i="34"/>
  <c r="E341" i="34" s="1"/>
  <c r="H341" i="34" s="1"/>
  <c r="G160" i="34"/>
  <c r="C161" i="34"/>
  <c r="D160" i="34"/>
  <c r="E160" i="34" s="1"/>
  <c r="H160" i="34" s="1"/>
  <c r="C162" i="34" l="1"/>
  <c r="G161" i="34"/>
  <c r="D161" i="34"/>
  <c r="E161" i="34" s="1"/>
  <c r="H161" i="34" s="1"/>
  <c r="G515" i="34"/>
  <c r="C516" i="34"/>
  <c r="D515" i="34"/>
  <c r="E515" i="34" s="1"/>
  <c r="H515" i="34" s="1"/>
  <c r="G342" i="34"/>
  <c r="D342" i="34"/>
  <c r="E342" i="34" s="1"/>
  <c r="H342" i="34" s="1"/>
  <c r="C343" i="34"/>
  <c r="G516" i="34" l="1"/>
  <c r="D516" i="34"/>
  <c r="E516" i="34" s="1"/>
  <c r="H516" i="34" s="1"/>
  <c r="C517" i="34"/>
  <c r="C344" i="34"/>
  <c r="D343" i="34"/>
  <c r="E343" i="34" s="1"/>
  <c r="H343" i="34" s="1"/>
  <c r="G343" i="34"/>
  <c r="G162" i="34"/>
  <c r="C163" i="34"/>
  <c r="D162" i="34"/>
  <c r="E162" i="34" s="1"/>
  <c r="H162" i="34" s="1"/>
  <c r="G163" i="34" l="1"/>
  <c r="C164" i="34"/>
  <c r="D163" i="34"/>
  <c r="E163" i="34" s="1"/>
  <c r="H163" i="34" s="1"/>
  <c r="G344" i="34"/>
  <c r="C345" i="34"/>
  <c r="D344" i="34"/>
  <c r="E344" i="34" s="1"/>
  <c r="H344" i="34" s="1"/>
  <c r="G517" i="34"/>
  <c r="C518" i="34"/>
  <c r="D517" i="34"/>
  <c r="E517" i="34" s="1"/>
  <c r="H517" i="34" s="1"/>
  <c r="G518" i="34" l="1"/>
  <c r="C519" i="34"/>
  <c r="D518" i="34"/>
  <c r="E518" i="34" s="1"/>
  <c r="H518" i="34" s="1"/>
  <c r="C346" i="34"/>
  <c r="D345" i="34"/>
  <c r="E345" i="34" s="1"/>
  <c r="H345" i="34" s="1"/>
  <c r="G345" i="34"/>
  <c r="G164" i="34"/>
  <c r="C165" i="34"/>
  <c r="D164" i="34"/>
  <c r="E164" i="34" s="1"/>
  <c r="H164" i="34" s="1"/>
  <c r="C520" i="34" l="1"/>
  <c r="D519" i="34"/>
  <c r="E519" i="34" s="1"/>
  <c r="H519" i="34" s="1"/>
  <c r="G519" i="34"/>
  <c r="C166" i="34"/>
  <c r="G165" i="34"/>
  <c r="D165" i="34"/>
  <c r="E165" i="34" s="1"/>
  <c r="H165" i="34" s="1"/>
  <c r="G346" i="34"/>
  <c r="D346" i="34"/>
  <c r="E346" i="34" s="1"/>
  <c r="H346" i="34" s="1"/>
  <c r="C347" i="34"/>
  <c r="G166" i="34" l="1"/>
  <c r="C167" i="34"/>
  <c r="D166" i="34"/>
  <c r="E166" i="34" s="1"/>
  <c r="H166" i="34" s="1"/>
  <c r="C348" i="34"/>
  <c r="D347" i="34"/>
  <c r="E347" i="34" s="1"/>
  <c r="H347" i="34" s="1"/>
  <c r="G347" i="34"/>
  <c r="C521" i="34"/>
  <c r="D520" i="34"/>
  <c r="E520" i="34" s="1"/>
  <c r="H520" i="34" s="1"/>
  <c r="G520" i="34"/>
  <c r="G348" i="34" l="1"/>
  <c r="C349" i="34"/>
  <c r="D348" i="34"/>
  <c r="E348" i="34" s="1"/>
  <c r="H348" i="34" s="1"/>
  <c r="G167" i="34"/>
  <c r="C168" i="34"/>
  <c r="D167" i="34"/>
  <c r="E167" i="34" s="1"/>
  <c r="H167" i="34" s="1"/>
  <c r="C522" i="34"/>
  <c r="D521" i="34"/>
  <c r="E521" i="34" s="1"/>
  <c r="H521" i="34" s="1"/>
  <c r="G521" i="34"/>
  <c r="G522" i="34" l="1"/>
  <c r="C523" i="34"/>
  <c r="D522" i="34"/>
  <c r="E522" i="34" s="1"/>
  <c r="H522" i="34" s="1"/>
  <c r="G168" i="34"/>
  <c r="C169" i="34"/>
  <c r="D168" i="34"/>
  <c r="E168" i="34" s="1"/>
  <c r="H168" i="34" s="1"/>
  <c r="G349" i="34"/>
  <c r="C350" i="34"/>
  <c r="D349" i="34"/>
  <c r="E349" i="34" s="1"/>
  <c r="H349" i="34" s="1"/>
  <c r="C170" i="34" l="1"/>
  <c r="G169" i="34"/>
  <c r="D169" i="34"/>
  <c r="E169" i="34" s="1"/>
  <c r="H169" i="34" s="1"/>
  <c r="G523" i="34"/>
  <c r="C524" i="34"/>
  <c r="D523" i="34"/>
  <c r="E523" i="34" s="1"/>
  <c r="H523" i="34" s="1"/>
  <c r="G350" i="34"/>
  <c r="D350" i="34"/>
  <c r="E350" i="34" s="1"/>
  <c r="H350" i="34" s="1"/>
  <c r="C351" i="34"/>
  <c r="G524" i="34" l="1"/>
  <c r="D524" i="34"/>
  <c r="E524" i="34" s="1"/>
  <c r="H524" i="34" s="1"/>
  <c r="C525" i="34"/>
  <c r="C352" i="34"/>
  <c r="D351" i="34"/>
  <c r="E351" i="34" s="1"/>
  <c r="H351" i="34" s="1"/>
  <c r="G351" i="34"/>
  <c r="G170" i="34"/>
  <c r="C171" i="34"/>
  <c r="D170" i="34"/>
  <c r="E170" i="34" s="1"/>
  <c r="H170" i="34" s="1"/>
  <c r="G171" i="34" l="1"/>
  <c r="C172" i="34"/>
  <c r="D171" i="34"/>
  <c r="E171" i="34" s="1"/>
  <c r="H171" i="34" s="1"/>
  <c r="G525" i="34"/>
  <c r="C526" i="34"/>
  <c r="D525" i="34"/>
  <c r="E525" i="34" s="1"/>
  <c r="H525" i="34" s="1"/>
  <c r="G352" i="34"/>
  <c r="C353" i="34"/>
  <c r="D352" i="34"/>
  <c r="E352" i="34" s="1"/>
  <c r="H352" i="34" s="1"/>
  <c r="G526" i="34" l="1"/>
  <c r="C527" i="34"/>
  <c r="D526" i="34"/>
  <c r="E526" i="34" s="1"/>
  <c r="H526" i="34" s="1"/>
  <c r="G172" i="34"/>
  <c r="C173" i="34"/>
  <c r="D172" i="34"/>
  <c r="E172" i="34" s="1"/>
  <c r="H172" i="34" s="1"/>
  <c r="C354" i="34"/>
  <c r="D353" i="34"/>
  <c r="E353" i="34" s="1"/>
  <c r="H353" i="34" s="1"/>
  <c r="G353" i="34"/>
  <c r="G354" i="34" l="1"/>
  <c r="C355" i="34"/>
  <c r="D354" i="34"/>
  <c r="E354" i="34" s="1"/>
  <c r="H354" i="34" s="1"/>
  <c r="C174" i="34"/>
  <c r="G173" i="34"/>
  <c r="D173" i="34"/>
  <c r="E173" i="34" s="1"/>
  <c r="H173" i="34" s="1"/>
  <c r="C528" i="34"/>
  <c r="D527" i="34"/>
  <c r="E527" i="34" s="1"/>
  <c r="H527" i="34" s="1"/>
  <c r="G527" i="34"/>
  <c r="C529" i="34" l="1"/>
  <c r="C530" i="34" s="1"/>
  <c r="D528" i="34"/>
  <c r="E528" i="34" s="1"/>
  <c r="H528" i="34" s="1"/>
  <c r="G528" i="34"/>
  <c r="C356" i="34"/>
  <c r="D355" i="34"/>
  <c r="E355" i="34" s="1"/>
  <c r="H355" i="34" s="1"/>
  <c r="G355" i="34"/>
  <c r="G174" i="34"/>
  <c r="C175" i="34"/>
  <c r="D174" i="34"/>
  <c r="E174" i="34" s="1"/>
  <c r="H174" i="34" s="1"/>
  <c r="D530" i="34" l="1"/>
  <c r="E530" i="34" s="1"/>
  <c r="H530" i="34" s="1"/>
  <c r="G530" i="34"/>
  <c r="C531" i="34"/>
  <c r="G175" i="34"/>
  <c r="C176" i="34"/>
  <c r="D175" i="34"/>
  <c r="E175" i="34" s="1"/>
  <c r="H175" i="34" s="1"/>
  <c r="G356" i="34"/>
  <c r="C357" i="34"/>
  <c r="C358" i="34" s="1"/>
  <c r="D356" i="34"/>
  <c r="E356" i="34" s="1"/>
  <c r="H356" i="34" s="1"/>
  <c r="D529" i="34"/>
  <c r="E529" i="34" s="1"/>
  <c r="H529" i="34" s="1"/>
  <c r="G529" i="34"/>
  <c r="G531" i="34" l="1"/>
  <c r="D531" i="34"/>
  <c r="E531" i="34" s="1"/>
  <c r="H531" i="34" s="1"/>
  <c r="C532" i="34"/>
  <c r="D358" i="34"/>
  <c r="E358" i="34" s="1"/>
  <c r="H358" i="34" s="1"/>
  <c r="G358" i="34"/>
  <c r="C359" i="34"/>
  <c r="G357" i="34"/>
  <c r="D357" i="34"/>
  <c r="E357" i="34" s="1"/>
  <c r="H357" i="34" s="1"/>
  <c r="G176" i="34"/>
  <c r="C177" i="34"/>
  <c r="D176" i="34"/>
  <c r="E176" i="34" s="1"/>
  <c r="H176" i="34" s="1"/>
  <c r="C533" i="34" l="1"/>
  <c r="D532" i="34"/>
  <c r="E532" i="34" s="1"/>
  <c r="H532" i="34" s="1"/>
  <c r="G532" i="34"/>
  <c r="C360" i="34"/>
  <c r="D359" i="34"/>
  <c r="E359" i="34" s="1"/>
  <c r="H359" i="34" s="1"/>
  <c r="G359" i="34"/>
  <c r="C178" i="34"/>
  <c r="G177" i="34"/>
  <c r="D177" i="34"/>
  <c r="E177" i="34" s="1"/>
  <c r="H177" i="34" s="1"/>
  <c r="C534" i="34" l="1"/>
  <c r="G533" i="34"/>
  <c r="D533" i="34"/>
  <c r="E533" i="34" s="1"/>
  <c r="H533" i="34" s="1"/>
  <c r="C361" i="34"/>
  <c r="G360" i="34"/>
  <c r="D360" i="34"/>
  <c r="E360" i="34" s="1"/>
  <c r="H360" i="34" s="1"/>
  <c r="G178" i="34"/>
  <c r="C179" i="34"/>
  <c r="D178" i="34"/>
  <c r="E178" i="34" s="1"/>
  <c r="H178" i="34" s="1"/>
  <c r="D534" i="34" l="1"/>
  <c r="E534" i="34" s="1"/>
  <c r="H534" i="34" s="1"/>
  <c r="C535" i="34"/>
  <c r="G534" i="34"/>
  <c r="D361" i="34"/>
  <c r="E361" i="34" s="1"/>
  <c r="H361" i="34" s="1"/>
  <c r="C362" i="34"/>
  <c r="G361" i="34"/>
  <c r="G179" i="34"/>
  <c r="C180" i="34"/>
  <c r="D179" i="34"/>
  <c r="E179" i="34" s="1"/>
  <c r="H179" i="34" s="1"/>
  <c r="D535" i="34" l="1"/>
  <c r="E535" i="34" s="1"/>
  <c r="H535" i="34" s="1"/>
  <c r="C536" i="34"/>
  <c r="G535" i="34"/>
  <c r="D362" i="34"/>
  <c r="E362" i="34" s="1"/>
  <c r="H362" i="34" s="1"/>
  <c r="C363" i="34"/>
  <c r="G362" i="34"/>
  <c r="G180" i="34"/>
  <c r="C181" i="34"/>
  <c r="D180" i="34"/>
  <c r="E180" i="34" s="1"/>
  <c r="H180" i="34" s="1"/>
  <c r="D536" i="34" l="1"/>
  <c r="E536" i="34" s="1"/>
  <c r="H536" i="34" s="1"/>
  <c r="C537" i="34"/>
  <c r="G536" i="34"/>
  <c r="G363" i="34"/>
  <c r="C364" i="34"/>
  <c r="D363" i="34"/>
  <c r="E363" i="34" s="1"/>
  <c r="H363" i="34" s="1"/>
  <c r="C182" i="34"/>
  <c r="G181" i="34"/>
  <c r="D181" i="34"/>
  <c r="E181" i="34" s="1"/>
  <c r="H181" i="34" s="1"/>
  <c r="C538" i="34" l="1"/>
  <c r="G537" i="34"/>
  <c r="D537" i="34"/>
  <c r="E537" i="34" s="1"/>
  <c r="H537" i="34" s="1"/>
  <c r="C365" i="34"/>
  <c r="D364" i="34"/>
  <c r="E364" i="34" s="1"/>
  <c r="H364" i="34" s="1"/>
  <c r="G364" i="34"/>
  <c r="G182" i="34"/>
  <c r="C183" i="34"/>
  <c r="D182" i="34"/>
  <c r="E182" i="34" s="1"/>
  <c r="H182" i="34" s="1"/>
  <c r="D538" i="34" l="1"/>
  <c r="E538" i="34" s="1"/>
  <c r="H538" i="34" s="1"/>
  <c r="G538" i="34"/>
  <c r="C539" i="34"/>
  <c r="C366" i="34"/>
  <c r="D365" i="34"/>
  <c r="E365" i="34" s="1"/>
  <c r="H365" i="34" s="1"/>
  <c r="G365" i="34"/>
  <c r="G183" i="34"/>
  <c r="C184" i="34"/>
  <c r="C185" i="34" s="1"/>
  <c r="D183" i="34"/>
  <c r="E183" i="34" s="1"/>
  <c r="H183" i="34" s="1"/>
  <c r="G539" i="34" l="1"/>
  <c r="C540" i="34"/>
  <c r="D539" i="34"/>
  <c r="E539" i="34" s="1"/>
  <c r="H539" i="34" s="1"/>
  <c r="D366" i="34"/>
  <c r="E366" i="34" s="1"/>
  <c r="H366" i="34" s="1"/>
  <c r="G366" i="34"/>
  <c r="C367" i="34"/>
  <c r="C186" i="34"/>
  <c r="G185" i="34"/>
  <c r="D185" i="34"/>
  <c r="E185" i="34" s="1"/>
  <c r="H185" i="34" s="1"/>
  <c r="G184" i="34"/>
  <c r="D184" i="34"/>
  <c r="E184" i="34" s="1"/>
  <c r="H184" i="34" s="1"/>
  <c r="G540" i="34" l="1"/>
  <c r="C541" i="34"/>
  <c r="D540" i="34"/>
  <c r="E540" i="34" s="1"/>
  <c r="H540" i="34" s="1"/>
  <c r="G367" i="34"/>
  <c r="D367" i="34"/>
  <c r="E367" i="34" s="1"/>
  <c r="H367" i="34" s="1"/>
  <c r="C368" i="34"/>
  <c r="C187" i="34"/>
  <c r="G186" i="34"/>
  <c r="D186" i="34"/>
  <c r="E186" i="34" s="1"/>
  <c r="H186" i="34" s="1"/>
  <c r="C542" i="34" l="1"/>
  <c r="D541" i="34"/>
  <c r="E541" i="34" s="1"/>
  <c r="H541" i="34" s="1"/>
  <c r="G541" i="34"/>
  <c r="D368" i="34"/>
  <c r="E368" i="34" s="1"/>
  <c r="H368" i="34" s="1"/>
  <c r="C369" i="34"/>
  <c r="G368" i="34"/>
  <c r="G187" i="34"/>
  <c r="C188" i="34"/>
  <c r="D187" i="34"/>
  <c r="E187" i="34" s="1"/>
  <c r="H187" i="34" s="1"/>
  <c r="C14" i="30"/>
  <c r="D542" i="34" l="1"/>
  <c r="E542" i="34" s="1"/>
  <c r="H542" i="34" s="1"/>
  <c r="C543" i="34"/>
  <c r="G542" i="34"/>
  <c r="D369" i="34"/>
  <c r="E369" i="34" s="1"/>
  <c r="H369" i="34" s="1"/>
  <c r="G369" i="34"/>
  <c r="C370" i="34"/>
  <c r="G188" i="34"/>
  <c r="C189" i="34"/>
  <c r="D188" i="34"/>
  <c r="E188" i="34" s="1"/>
  <c r="H188" i="34" s="1"/>
  <c r="F53" i="24"/>
  <c r="J11" i="24"/>
  <c r="J110" i="24" s="1"/>
  <c r="L122" i="24"/>
  <c r="J121" i="24"/>
  <c r="H121" i="24"/>
  <c r="F121" i="24"/>
  <c r="J120" i="24"/>
  <c r="H120" i="24"/>
  <c r="F120" i="24"/>
  <c r="J119" i="24"/>
  <c r="H119" i="24"/>
  <c r="F119" i="24"/>
  <c r="J118" i="24"/>
  <c r="H118" i="24"/>
  <c r="F118" i="24"/>
  <c r="J117" i="24"/>
  <c r="H117" i="24"/>
  <c r="F117" i="24"/>
  <c r="J116" i="24"/>
  <c r="H116" i="24"/>
  <c r="F116" i="24"/>
  <c r="J115" i="24"/>
  <c r="H115" i="24"/>
  <c r="F115" i="24"/>
  <c r="J114" i="24"/>
  <c r="H114" i="24"/>
  <c r="F114" i="24"/>
  <c r="J113" i="24"/>
  <c r="H113" i="24"/>
  <c r="F113" i="24"/>
  <c r="J112" i="24"/>
  <c r="H112" i="24"/>
  <c r="F112" i="24"/>
  <c r="J111" i="24"/>
  <c r="H111" i="24"/>
  <c r="F111" i="24"/>
  <c r="H110" i="24"/>
  <c r="L95" i="24"/>
  <c r="J94" i="24"/>
  <c r="F94" i="24"/>
  <c r="J93" i="24"/>
  <c r="F93" i="24"/>
  <c r="J92" i="24"/>
  <c r="F92" i="24"/>
  <c r="J91" i="24"/>
  <c r="F91" i="24"/>
  <c r="J90" i="24"/>
  <c r="F90" i="24"/>
  <c r="J89" i="24"/>
  <c r="F89" i="24"/>
  <c r="J88" i="24"/>
  <c r="F88" i="24"/>
  <c r="J87" i="24"/>
  <c r="F87" i="24"/>
  <c r="J86" i="24"/>
  <c r="F86" i="24"/>
  <c r="J85" i="24"/>
  <c r="F85" i="24"/>
  <c r="J84" i="24"/>
  <c r="F84" i="24"/>
  <c r="L67" i="24"/>
  <c r="L45" i="24"/>
  <c r="J45" i="24"/>
  <c r="L24" i="24"/>
  <c r="H24" i="24"/>
  <c r="L180" i="2"/>
  <c r="J180" i="2"/>
  <c r="H180" i="2"/>
  <c r="N179" i="2"/>
  <c r="N178" i="2"/>
  <c r="P178" i="2" s="1"/>
  <c r="N177" i="2"/>
  <c r="P177" i="2" s="1"/>
  <c r="N176" i="2"/>
  <c r="P176" i="2" s="1"/>
  <c r="N175" i="2"/>
  <c r="P175" i="2" s="1"/>
  <c r="N174" i="2"/>
  <c r="P174" i="2" s="1"/>
  <c r="N173" i="2"/>
  <c r="P173" i="2" s="1"/>
  <c r="N172" i="2"/>
  <c r="P172" i="2" s="1"/>
  <c r="N171" i="2"/>
  <c r="P171" i="2" s="1"/>
  <c r="N170" i="2"/>
  <c r="N169" i="2"/>
  <c r="P169" i="2" s="1"/>
  <c r="N168" i="2"/>
  <c r="P168" i="2" s="1"/>
  <c r="N167" i="2"/>
  <c r="N163" i="2"/>
  <c r="L163" i="2"/>
  <c r="J163" i="2"/>
  <c r="H163" i="2"/>
  <c r="P161" i="2"/>
  <c r="P160" i="2"/>
  <c r="P159" i="2"/>
  <c r="P158" i="2"/>
  <c r="P157" i="2"/>
  <c r="P156" i="2"/>
  <c r="P155" i="2"/>
  <c r="P154" i="2"/>
  <c r="P153" i="2"/>
  <c r="P152" i="2"/>
  <c r="P151" i="2"/>
  <c r="N146" i="2"/>
  <c r="L146" i="2"/>
  <c r="J146" i="2"/>
  <c r="H146" i="2"/>
  <c r="P144" i="2"/>
  <c r="P143" i="2"/>
  <c r="P142" i="2"/>
  <c r="P141" i="2"/>
  <c r="P140" i="2"/>
  <c r="P139" i="2"/>
  <c r="P138" i="2"/>
  <c r="P137" i="2"/>
  <c r="P136" i="2"/>
  <c r="P135" i="2"/>
  <c r="P134" i="2"/>
  <c r="N129" i="2"/>
  <c r="L129" i="2"/>
  <c r="J129" i="2"/>
  <c r="H129" i="2"/>
  <c r="P127" i="2"/>
  <c r="P126" i="2"/>
  <c r="P125" i="2"/>
  <c r="P124" i="2"/>
  <c r="P123" i="2"/>
  <c r="P122" i="2"/>
  <c r="P121" i="2"/>
  <c r="P120" i="2"/>
  <c r="P119" i="2"/>
  <c r="P118" i="2"/>
  <c r="P117" i="2"/>
  <c r="L112" i="2"/>
  <c r="J112" i="2"/>
  <c r="N98" i="2"/>
  <c r="N115" i="2" s="1"/>
  <c r="N132" i="2" s="1"/>
  <c r="N149" i="2" s="1"/>
  <c r="N166" i="2" s="1"/>
  <c r="J98" i="2"/>
  <c r="J115" i="2" s="1"/>
  <c r="J132" i="2" s="1"/>
  <c r="J149" i="2" s="1"/>
  <c r="J166" i="2" s="1"/>
  <c r="H98" i="2"/>
  <c r="H115" i="2" s="1"/>
  <c r="H132" i="2" s="1"/>
  <c r="H149" i="2" s="1"/>
  <c r="H166" i="2" s="1"/>
  <c r="L88" i="2"/>
  <c r="J88" i="2"/>
  <c r="H88" i="2"/>
  <c r="N87" i="2"/>
  <c r="N86" i="2"/>
  <c r="P86" i="2" s="1"/>
  <c r="N85" i="2"/>
  <c r="P85" i="2" s="1"/>
  <c r="N84" i="2"/>
  <c r="P84" i="2" s="1"/>
  <c r="N83" i="2"/>
  <c r="P83" i="2" s="1"/>
  <c r="N82" i="2"/>
  <c r="P82" i="2" s="1"/>
  <c r="N81" i="2"/>
  <c r="P81" i="2" s="1"/>
  <c r="N80" i="2"/>
  <c r="P80" i="2" s="1"/>
  <c r="N79" i="2"/>
  <c r="P79" i="2" s="1"/>
  <c r="N78" i="2"/>
  <c r="P78" i="2" s="1"/>
  <c r="N77" i="2"/>
  <c r="P77" i="2" s="1"/>
  <c r="N76" i="2"/>
  <c r="P76" i="2" s="1"/>
  <c r="N75" i="2"/>
  <c r="N71" i="2"/>
  <c r="L71" i="2"/>
  <c r="J71" i="2"/>
  <c r="H71" i="2"/>
  <c r="P69" i="2"/>
  <c r="P68" i="2"/>
  <c r="P67" i="2"/>
  <c r="P66" i="2"/>
  <c r="P65" i="2"/>
  <c r="P64" i="2"/>
  <c r="P63" i="2"/>
  <c r="P62" i="2"/>
  <c r="P61" i="2"/>
  <c r="P59" i="2"/>
  <c r="N54" i="2"/>
  <c r="L54" i="2"/>
  <c r="J54" i="2"/>
  <c r="P52" i="2"/>
  <c r="P51" i="2"/>
  <c r="P50" i="2"/>
  <c r="P49" i="2"/>
  <c r="P48" i="2"/>
  <c r="P47" i="2"/>
  <c r="P46" i="2"/>
  <c r="P45" i="2"/>
  <c r="P44" i="2"/>
  <c r="P43" i="2"/>
  <c r="P42" i="2"/>
  <c r="N37" i="2"/>
  <c r="J37" i="2"/>
  <c r="H37" i="2"/>
  <c r="P35" i="2"/>
  <c r="P34" i="2"/>
  <c r="P33" i="2"/>
  <c r="P32" i="2"/>
  <c r="P31" i="2"/>
  <c r="P30" i="2"/>
  <c r="P29" i="2"/>
  <c r="P28" i="2"/>
  <c r="P27" i="2"/>
  <c r="P26" i="2"/>
  <c r="P25" i="2"/>
  <c r="N23" i="2"/>
  <c r="N40" i="2" s="1"/>
  <c r="N57" i="2" s="1"/>
  <c r="N74" i="2" s="1"/>
  <c r="J23" i="2"/>
  <c r="J40" i="2" s="1"/>
  <c r="J57" i="2" s="1"/>
  <c r="J74" i="2" s="1"/>
  <c r="H23" i="2"/>
  <c r="H40" i="2" s="1"/>
  <c r="H57" i="2" s="1"/>
  <c r="H74" i="2" s="1"/>
  <c r="L20" i="2"/>
  <c r="J20" i="2"/>
  <c r="N88" i="2" l="1"/>
  <c r="N180" i="2"/>
  <c r="C544" i="34"/>
  <c r="D543" i="34"/>
  <c r="E543" i="34" s="1"/>
  <c r="H543" i="34" s="1"/>
  <c r="G543" i="34"/>
  <c r="D370" i="34"/>
  <c r="E370" i="34" s="1"/>
  <c r="H370" i="34" s="1"/>
  <c r="G370" i="34"/>
  <c r="C371" i="34"/>
  <c r="C190" i="34"/>
  <c r="G189" i="34"/>
  <c r="D189" i="34"/>
  <c r="E189" i="34" s="1"/>
  <c r="H189" i="34" s="1"/>
  <c r="H20" i="2"/>
  <c r="H95" i="24"/>
  <c r="J54" i="24"/>
  <c r="J55" i="24" s="1"/>
  <c r="J56" i="24" s="1"/>
  <c r="J57" i="24" s="1"/>
  <c r="J58" i="24" s="1"/>
  <c r="J59" i="24" s="1"/>
  <c r="J60" i="24" s="1"/>
  <c r="J61" i="24" s="1"/>
  <c r="J62" i="24" s="1"/>
  <c r="J63" i="24" s="1"/>
  <c r="J64" i="24" s="1"/>
  <c r="J123" i="24"/>
  <c r="H123" i="24"/>
  <c r="J24" i="24"/>
  <c r="J83" i="24"/>
  <c r="J95" i="24" s="1"/>
  <c r="P170" i="2"/>
  <c r="J65" i="24" l="1"/>
  <c r="J67" i="24" s="1"/>
  <c r="D544" i="34"/>
  <c r="E544" i="34" s="1"/>
  <c r="H544" i="34" s="1"/>
  <c r="G544" i="34"/>
  <c r="C545" i="34"/>
  <c r="G371" i="34"/>
  <c r="C372" i="34"/>
  <c r="D371" i="34"/>
  <c r="E371" i="34" s="1"/>
  <c r="H371" i="34" s="1"/>
  <c r="C191" i="34"/>
  <c r="G190" i="34"/>
  <c r="D190" i="34"/>
  <c r="E190" i="34" s="1"/>
  <c r="H190" i="34" s="1"/>
  <c r="C546" i="34" l="1"/>
  <c r="G545" i="34"/>
  <c r="D545" i="34"/>
  <c r="E545" i="34" s="1"/>
  <c r="H545" i="34" s="1"/>
  <c r="G372" i="34"/>
  <c r="D372" i="34"/>
  <c r="E372" i="34" s="1"/>
  <c r="H372" i="34" s="1"/>
  <c r="C373" i="34"/>
  <c r="C192" i="34"/>
  <c r="G191" i="34"/>
  <c r="D191" i="34"/>
  <c r="E191" i="34" s="1"/>
  <c r="H191" i="34" s="1"/>
  <c r="D546" i="34" l="1"/>
  <c r="E546" i="34" s="1"/>
  <c r="H546" i="34" s="1"/>
  <c r="C547" i="34"/>
  <c r="G546" i="34"/>
  <c r="G373" i="34"/>
  <c r="C374" i="34"/>
  <c r="D373" i="34"/>
  <c r="E373" i="34" s="1"/>
  <c r="H373" i="34" s="1"/>
  <c r="C193" i="34"/>
  <c r="G192" i="34"/>
  <c r="D192" i="34"/>
  <c r="E192" i="34" s="1"/>
  <c r="H192" i="34" s="1"/>
  <c r="G547" i="34" l="1"/>
  <c r="C548" i="34"/>
  <c r="D547" i="34"/>
  <c r="E547" i="34" s="1"/>
  <c r="H547" i="34" s="1"/>
  <c r="D374" i="34"/>
  <c r="E374" i="34" s="1"/>
  <c r="H374" i="34" s="1"/>
  <c r="G374" i="34"/>
  <c r="C375" i="34"/>
  <c r="G193" i="34"/>
  <c r="C194" i="34"/>
  <c r="D193" i="34"/>
  <c r="E193" i="34" s="1"/>
  <c r="H193" i="34" s="1"/>
  <c r="D548" i="34" l="1"/>
  <c r="E548" i="34" s="1"/>
  <c r="H548" i="34" s="1"/>
  <c r="C549" i="34"/>
  <c r="G548" i="34"/>
  <c r="G375" i="34"/>
  <c r="D375" i="34"/>
  <c r="E375" i="34" s="1"/>
  <c r="H375" i="34" s="1"/>
  <c r="C376" i="34"/>
  <c r="C195" i="34"/>
  <c r="G194" i="34"/>
  <c r="D194" i="34"/>
  <c r="E194" i="34" s="1"/>
  <c r="H194" i="34" s="1"/>
  <c r="C550" i="34" l="1"/>
  <c r="G549" i="34"/>
  <c r="D549" i="34"/>
  <c r="E549" i="34" s="1"/>
  <c r="H549" i="34" s="1"/>
  <c r="C377" i="34"/>
  <c r="D376" i="34"/>
  <c r="E376" i="34" s="1"/>
  <c r="H376" i="34" s="1"/>
  <c r="G376" i="34"/>
  <c r="G195" i="34"/>
  <c r="C196" i="34"/>
  <c r="D195" i="34"/>
  <c r="E195" i="34" s="1"/>
  <c r="H195" i="34" s="1"/>
  <c r="C551" i="34" l="1"/>
  <c r="D550" i="34"/>
  <c r="E550" i="34" s="1"/>
  <c r="H550" i="34" s="1"/>
  <c r="G550" i="34"/>
  <c r="C378" i="34"/>
  <c r="D377" i="34"/>
  <c r="E377" i="34" s="1"/>
  <c r="H377" i="34" s="1"/>
  <c r="G377" i="34"/>
  <c r="C197" i="34"/>
  <c r="G196" i="34"/>
  <c r="D196" i="34"/>
  <c r="E196" i="34" s="1"/>
  <c r="H196" i="34" s="1"/>
  <c r="H32" i="24" l="1"/>
  <c r="H33" i="24" s="1"/>
  <c r="H112" i="2"/>
  <c r="D551" i="34"/>
  <c r="E551" i="34" s="1"/>
  <c r="H551" i="34" s="1"/>
  <c r="C552" i="34"/>
  <c r="G551" i="34"/>
  <c r="D378" i="34"/>
  <c r="E378" i="34" s="1"/>
  <c r="H378" i="34" s="1"/>
  <c r="C379" i="34"/>
  <c r="G378" i="34"/>
  <c r="C198" i="34"/>
  <c r="G197" i="34"/>
  <c r="D197" i="34"/>
  <c r="E197" i="34" s="1"/>
  <c r="H197" i="34" s="1"/>
  <c r="H34" i="24" l="1"/>
  <c r="H35" i="24" s="1"/>
  <c r="H36" i="24" s="1"/>
  <c r="H37" i="24" s="1"/>
  <c r="H38" i="24" s="1"/>
  <c r="H39" i="24" s="1"/>
  <c r="H40" i="24" s="1"/>
  <c r="H41" i="24" s="1"/>
  <c r="H42" i="24" s="1"/>
  <c r="H43" i="24" s="1"/>
  <c r="H44" i="24" s="1"/>
  <c r="G552" i="34"/>
  <c r="C553" i="34"/>
  <c r="D552" i="34"/>
  <c r="E552" i="34" s="1"/>
  <c r="H552" i="34" s="1"/>
  <c r="G379" i="34"/>
  <c r="C380" i="34"/>
  <c r="D379" i="34"/>
  <c r="E379" i="34" s="1"/>
  <c r="H379" i="34" s="1"/>
  <c r="G198" i="34"/>
  <c r="C199" i="34"/>
  <c r="D198" i="34"/>
  <c r="E198" i="34" s="1"/>
  <c r="H198" i="34" s="1"/>
  <c r="H45" i="24" l="1"/>
  <c r="D553" i="34"/>
  <c r="E553" i="34" s="1"/>
  <c r="H553" i="34" s="1"/>
  <c r="G553" i="34"/>
  <c r="C381" i="34"/>
  <c r="C382" i="34" s="1"/>
  <c r="D380" i="34"/>
  <c r="E380" i="34" s="1"/>
  <c r="H380" i="34" s="1"/>
  <c r="G380" i="34"/>
  <c r="G199" i="34"/>
  <c r="C200" i="34"/>
  <c r="D199" i="34"/>
  <c r="E199" i="34" s="1"/>
  <c r="H199" i="34" s="1"/>
  <c r="D382" i="34" l="1"/>
  <c r="E382" i="34" s="1"/>
  <c r="H382" i="34" s="1"/>
  <c r="G382" i="34"/>
  <c r="C383" i="34"/>
  <c r="D381" i="34"/>
  <c r="E381" i="34" s="1"/>
  <c r="H381" i="34" s="1"/>
  <c r="G381" i="34"/>
  <c r="G200" i="34"/>
  <c r="C201" i="34"/>
  <c r="D200" i="34"/>
  <c r="E200" i="34" s="1"/>
  <c r="H200" i="34" s="1"/>
  <c r="G383" i="34" l="1"/>
  <c r="D383" i="34"/>
  <c r="E383" i="34" s="1"/>
  <c r="H383" i="34" s="1"/>
  <c r="C384" i="34"/>
  <c r="C202" i="34"/>
  <c r="G201" i="34"/>
  <c r="D201" i="34"/>
  <c r="E201" i="34" s="1"/>
  <c r="H201" i="34" s="1"/>
  <c r="C385" i="34" l="1"/>
  <c r="G384" i="34"/>
  <c r="D384" i="34"/>
  <c r="E384" i="34" s="1"/>
  <c r="H384" i="34" s="1"/>
  <c r="C203" i="34"/>
  <c r="G202" i="34"/>
  <c r="D202" i="34"/>
  <c r="E202" i="34" s="1"/>
  <c r="H202" i="34" s="1"/>
  <c r="H55" i="3"/>
  <c r="H9" i="3"/>
  <c r="C386" i="34" l="1"/>
  <c r="D385" i="34"/>
  <c r="E385" i="34" s="1"/>
  <c r="H385" i="34" s="1"/>
  <c r="G385" i="34"/>
  <c r="C204" i="34"/>
  <c r="G203" i="34"/>
  <c r="D203" i="34"/>
  <c r="E203" i="34" s="1"/>
  <c r="H203" i="34" s="1"/>
  <c r="Y50" i="40"/>
  <c r="AA60" i="40"/>
  <c r="Z60" i="40"/>
  <c r="Y60" i="40"/>
  <c r="X60" i="40"/>
  <c r="W60" i="40"/>
  <c r="V60" i="40"/>
  <c r="AA55" i="40"/>
  <c r="Z55" i="40"/>
  <c r="Y55" i="40"/>
  <c r="X55" i="40"/>
  <c r="W55" i="40"/>
  <c r="V55" i="40"/>
  <c r="AA50" i="40"/>
  <c r="Z50" i="40"/>
  <c r="X50" i="40"/>
  <c r="W50" i="40"/>
  <c r="V50" i="40"/>
  <c r="AA40" i="40"/>
  <c r="Z40" i="40"/>
  <c r="Y40" i="40"/>
  <c r="X40" i="40"/>
  <c r="V40" i="40"/>
  <c r="AA32" i="40"/>
  <c r="Z32" i="40"/>
  <c r="X32" i="40"/>
  <c r="V32" i="40"/>
  <c r="AA26" i="40"/>
  <c r="Z26" i="40"/>
  <c r="Y26" i="40"/>
  <c r="X26" i="40"/>
  <c r="V26" i="40"/>
  <c r="AA16" i="40"/>
  <c r="Z16" i="40"/>
  <c r="X16" i="40"/>
  <c r="V16" i="40"/>
  <c r="G386" i="34" l="1"/>
  <c r="C387" i="34"/>
  <c r="D386" i="34"/>
  <c r="E386" i="34" s="1"/>
  <c r="H386" i="34" s="1"/>
  <c r="Z62" i="40"/>
  <c r="C205" i="34"/>
  <c r="G204" i="34"/>
  <c r="D204" i="34"/>
  <c r="E204" i="34" s="1"/>
  <c r="H204" i="34" s="1"/>
  <c r="X42" i="40"/>
  <c r="AA62" i="40"/>
  <c r="Z42" i="40"/>
  <c r="Z64" i="40" s="1"/>
  <c r="AA42" i="40"/>
  <c r="AA64" i="40" s="1"/>
  <c r="W62" i="40"/>
  <c r="X62" i="40"/>
  <c r="V42" i="40"/>
  <c r="Y62" i="40"/>
  <c r="V62" i="40"/>
  <c r="G387" i="34" l="1"/>
  <c r="C388" i="34"/>
  <c r="D387" i="34"/>
  <c r="E387" i="34" s="1"/>
  <c r="H387" i="34" s="1"/>
  <c r="X64" i="40"/>
  <c r="G205" i="34"/>
  <c r="C206" i="34"/>
  <c r="D205" i="34"/>
  <c r="E205" i="34" s="1"/>
  <c r="H205" i="34" s="1"/>
  <c r="V64" i="40"/>
  <c r="AC58" i="40"/>
  <c r="AC53" i="40"/>
  <c r="AC48" i="40"/>
  <c r="T60" i="40"/>
  <c r="Q60" i="40"/>
  <c r="N60" i="40"/>
  <c r="M60" i="40"/>
  <c r="M62" i="40" s="1"/>
  <c r="P58" i="40"/>
  <c r="O58" i="40"/>
  <c r="Q55" i="40"/>
  <c r="P53" i="40"/>
  <c r="O53" i="40"/>
  <c r="AD53" i="40" s="1"/>
  <c r="AD55" i="40" s="1"/>
  <c r="T50" i="40"/>
  <c r="S50" i="40"/>
  <c r="AJ48" i="40"/>
  <c r="AJ50" i="40" s="1"/>
  <c r="P48" i="40"/>
  <c r="O48" i="40"/>
  <c r="T40" i="40"/>
  <c r="Q40" i="40"/>
  <c r="P38" i="40"/>
  <c r="O38" i="40"/>
  <c r="P37" i="40"/>
  <c r="O37" i="40"/>
  <c r="AD37" i="40" s="1"/>
  <c r="P36" i="40"/>
  <c r="O36" i="40"/>
  <c r="AD36" i="40" s="1"/>
  <c r="P35" i="40"/>
  <c r="O35" i="40"/>
  <c r="U35" i="40" s="1"/>
  <c r="Q32" i="40"/>
  <c r="P30" i="40"/>
  <c r="O30" i="40"/>
  <c r="P29" i="40"/>
  <c r="O29" i="40"/>
  <c r="Q26" i="40"/>
  <c r="P24" i="40"/>
  <c r="O24" i="40"/>
  <c r="W26" i="40" s="1"/>
  <c r="AJ19" i="40"/>
  <c r="AJ26" i="40" s="1"/>
  <c r="AE19" i="40"/>
  <c r="AC19" i="40"/>
  <c r="P19" i="40"/>
  <c r="O19" i="40"/>
  <c r="T19" i="40" s="1"/>
  <c r="T16" i="40"/>
  <c r="S16" i="40"/>
  <c r="P14" i="40"/>
  <c r="O14" i="40"/>
  <c r="R14" i="40" s="1"/>
  <c r="P13" i="40"/>
  <c r="O13" i="40"/>
  <c r="P12" i="40"/>
  <c r="O12" i="40"/>
  <c r="R12" i="40" s="1"/>
  <c r="P11" i="40"/>
  <c r="O11" i="40"/>
  <c r="AD11" i="40" s="1"/>
  <c r="B8" i="40"/>
  <c r="A8" i="40"/>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l="1"/>
  <c r="A65" i="40" s="1"/>
  <c r="A66" i="40" s="1"/>
  <c r="A67" i="40" s="1"/>
  <c r="A68" i="40" s="1"/>
  <c r="A69" i="40" s="1"/>
  <c r="A70" i="40" s="1"/>
  <c r="A71" i="40" s="1"/>
  <c r="A72" i="40" s="1"/>
  <c r="A73" i="40" s="1"/>
  <c r="A74" i="40" s="1"/>
  <c r="A75" i="40" s="1"/>
  <c r="A76" i="40" s="1"/>
  <c r="D388" i="34"/>
  <c r="E388" i="34" s="1"/>
  <c r="H388" i="34" s="1"/>
  <c r="G388" i="34"/>
  <c r="C389" i="34"/>
  <c r="G206" i="34"/>
  <c r="C207" i="34"/>
  <c r="D206" i="34"/>
  <c r="E206" i="34" s="1"/>
  <c r="H206" i="34" s="1"/>
  <c r="T24" i="40"/>
  <c r="T26" i="40" s="1"/>
  <c r="O60" i="40"/>
  <c r="AD58" i="40"/>
  <c r="S38" i="40"/>
  <c r="R38" i="40" s="1"/>
  <c r="Y32" i="40"/>
  <c r="AE30" i="40"/>
  <c r="AC30" i="40"/>
  <c r="AD29" i="40"/>
  <c r="Q11" i="40"/>
  <c r="T30" i="40"/>
  <c r="U30" i="40" s="1"/>
  <c r="R11" i="40"/>
  <c r="AE24" i="40"/>
  <c r="AE26" i="40" s="1"/>
  <c r="T29" i="40"/>
  <c r="AJ35" i="40"/>
  <c r="AD35" i="40"/>
  <c r="S37" i="40"/>
  <c r="R37" i="40" s="1"/>
  <c r="R48" i="40"/>
  <c r="R50" i="40" s="1"/>
  <c r="AD48" i="40"/>
  <c r="AD30" i="40"/>
  <c r="R13" i="40"/>
  <c r="AD13" i="40"/>
  <c r="AE53" i="40"/>
  <c r="AE55" i="40" s="1"/>
  <c r="AC38" i="40"/>
  <c r="AD38" i="40"/>
  <c r="Q12" i="40"/>
  <c r="U12" i="40" s="1"/>
  <c r="AD12" i="40"/>
  <c r="AC24" i="40"/>
  <c r="AC26" i="40" s="1"/>
  <c r="Q13" i="40"/>
  <c r="U58" i="40"/>
  <c r="U60" i="40" s="1"/>
  <c r="AE13" i="40"/>
  <c r="AD24" i="40"/>
  <c r="AJ30" i="40"/>
  <c r="AC14" i="40"/>
  <c r="AD14" i="40"/>
  <c r="U19" i="40"/>
  <c r="AD19" i="40"/>
  <c r="AJ29" i="40"/>
  <c r="AJ32" i="40" s="1"/>
  <c r="U38" i="40"/>
  <c r="N62" i="40"/>
  <c r="AJ38" i="40"/>
  <c r="AJ58" i="40"/>
  <c r="AJ60" i="40" s="1"/>
  <c r="S58" i="40"/>
  <c r="O55" i="40"/>
  <c r="S36" i="40"/>
  <c r="R36" i="40" s="1"/>
  <c r="U37" i="40"/>
  <c r="S53" i="40"/>
  <c r="S55" i="40" s="1"/>
  <c r="AC60" i="40"/>
  <c r="O40" i="40"/>
  <c r="AC11" i="40"/>
  <c r="Q14" i="40"/>
  <c r="U14" i="40" s="1"/>
  <c r="O16" i="40"/>
  <c r="S19" i="40"/>
  <c r="S24" i="40"/>
  <c r="R24" i="40" s="1"/>
  <c r="O26" i="40"/>
  <c r="S29" i="40"/>
  <c r="S30" i="40"/>
  <c r="R30" i="40" s="1"/>
  <c r="O32" i="40"/>
  <c r="S35" i="40"/>
  <c r="U36" i="40"/>
  <c r="O50" i="40"/>
  <c r="T53" i="40"/>
  <c r="T55" i="40" s="1"/>
  <c r="T62" i="40" s="1"/>
  <c r="Q48" i="40"/>
  <c r="C390" i="34" l="1"/>
  <c r="D389" i="34"/>
  <c r="E389" i="34" s="1"/>
  <c r="H389" i="34" s="1"/>
  <c r="G389" i="34"/>
  <c r="T32" i="40"/>
  <c r="T42" i="40" s="1"/>
  <c r="T64" i="40" s="1"/>
  <c r="AD16" i="40"/>
  <c r="U24" i="40"/>
  <c r="C208" i="34"/>
  <c r="C209" i="34" s="1"/>
  <c r="G207" i="34"/>
  <c r="D207" i="34"/>
  <c r="E207" i="34" s="1"/>
  <c r="H207" i="34" s="1"/>
  <c r="AF13" i="40"/>
  <c r="AG13" i="40" s="1"/>
  <c r="AK13" i="40" s="1"/>
  <c r="U13" i="40"/>
  <c r="AD26" i="40"/>
  <c r="AD60" i="40"/>
  <c r="AE58" i="40"/>
  <c r="AF58" i="40" s="1"/>
  <c r="AG58" i="40" s="1"/>
  <c r="S26" i="40"/>
  <c r="O62" i="40"/>
  <c r="AE38" i="40"/>
  <c r="AF38" i="40" s="1"/>
  <c r="AG38" i="40" s="1"/>
  <c r="AK38" i="40" s="1"/>
  <c r="AD40" i="40"/>
  <c r="AD32" i="40"/>
  <c r="M64" i="40"/>
  <c r="N64" i="40"/>
  <c r="U29" i="40"/>
  <c r="U32" i="40" s="1"/>
  <c r="AJ14" i="40"/>
  <c r="U11" i="40"/>
  <c r="Y16" i="40"/>
  <c r="Y42" i="40" s="1"/>
  <c r="Y64" i="40" s="1"/>
  <c r="AJ13" i="40"/>
  <c r="W16" i="40"/>
  <c r="W40" i="40"/>
  <c r="AE35" i="40"/>
  <c r="U26" i="40"/>
  <c r="U40" i="40"/>
  <c r="AC35" i="40"/>
  <c r="W32" i="40"/>
  <c r="AE29" i="40"/>
  <c r="AE32" i="40" s="1"/>
  <c r="AC29" i="40"/>
  <c r="AC32" i="40" s="1"/>
  <c r="O42" i="40"/>
  <c r="AD50" i="40"/>
  <c r="AE48" i="40"/>
  <c r="R16" i="40"/>
  <c r="AE11" i="40"/>
  <c r="AF11" i="40" s="1"/>
  <c r="S40" i="40"/>
  <c r="AC13" i="40"/>
  <c r="AE14" i="40"/>
  <c r="AF14" i="40" s="1"/>
  <c r="AG14" i="40" s="1"/>
  <c r="AK14" i="40" s="1"/>
  <c r="U53" i="40"/>
  <c r="U55" i="40" s="1"/>
  <c r="AF53" i="40"/>
  <c r="AC55" i="40"/>
  <c r="AC62" i="40"/>
  <c r="AC50" i="40"/>
  <c r="S32" i="40"/>
  <c r="R35" i="40"/>
  <c r="R40" i="40" s="1"/>
  <c r="R53" i="40"/>
  <c r="R55" i="40" s="1"/>
  <c r="AF30" i="40"/>
  <c r="AG30" i="40" s="1"/>
  <c r="AK30" i="40" s="1"/>
  <c r="U48" i="40"/>
  <c r="U50" i="40" s="1"/>
  <c r="Q50" i="40"/>
  <c r="Q62" i="40" s="1"/>
  <c r="R29" i="40"/>
  <c r="R32" i="40" s="1"/>
  <c r="AF24" i="40"/>
  <c r="AG24" i="40" s="1"/>
  <c r="AK24" i="40" s="1"/>
  <c r="AC36" i="40"/>
  <c r="AJ36" i="40"/>
  <c r="AJ40" i="40" s="1"/>
  <c r="AE36" i="40"/>
  <c r="AF36" i="40" s="1"/>
  <c r="AG36" i="40" s="1"/>
  <c r="AK36" i="40" s="1"/>
  <c r="AE37" i="40"/>
  <c r="AF37" i="40" s="1"/>
  <c r="AG37" i="40" s="1"/>
  <c r="AK37" i="40" s="1"/>
  <c r="AC37" i="40"/>
  <c r="AF19" i="40"/>
  <c r="AJ53" i="40"/>
  <c r="AJ55" i="40" s="1"/>
  <c r="AJ62" i="40" s="1"/>
  <c r="Q16" i="40"/>
  <c r="Q42" i="40" s="1"/>
  <c r="R19" i="40"/>
  <c r="AJ37" i="40"/>
  <c r="S60" i="40"/>
  <c r="S62" i="40" s="1"/>
  <c r="R58" i="40"/>
  <c r="R60" i="40" s="1"/>
  <c r="AE12" i="40"/>
  <c r="AF12" i="40" s="1"/>
  <c r="AG12" i="40" s="1"/>
  <c r="AK12" i="40" s="1"/>
  <c r="AC12" i="40"/>
  <c r="AJ12" i="40"/>
  <c r="AJ16" i="40" s="1"/>
  <c r="G390" i="34" l="1"/>
  <c r="D390" i="34"/>
  <c r="E390" i="34" s="1"/>
  <c r="H390" i="34" s="1"/>
  <c r="C391" i="34"/>
  <c r="G209" i="34"/>
  <c r="C210" i="34"/>
  <c r="D209" i="34"/>
  <c r="E209" i="34" s="1"/>
  <c r="H209" i="34" s="1"/>
  <c r="O64" i="40"/>
  <c r="AD42" i="40"/>
  <c r="U16" i="40"/>
  <c r="U42" i="40" s="1"/>
  <c r="S42" i="40"/>
  <c r="S64" i="40" s="1"/>
  <c r="Q64" i="40"/>
  <c r="AE60" i="40"/>
  <c r="G208" i="34"/>
  <c r="D208" i="34"/>
  <c r="E208" i="34" s="1"/>
  <c r="H208" i="34" s="1"/>
  <c r="R62" i="40"/>
  <c r="AF29" i="40"/>
  <c r="AG29" i="40" s="1"/>
  <c r="AG32" i="40" s="1"/>
  <c r="W42" i="40"/>
  <c r="W64" i="40" s="1"/>
  <c r="AC64" i="40" s="1"/>
  <c r="AD62" i="40"/>
  <c r="AF26" i="40"/>
  <c r="AC16" i="40"/>
  <c r="AE40" i="40"/>
  <c r="AJ42" i="40"/>
  <c r="AJ64" i="40" s="1"/>
  <c r="AJ67" i="40" s="1"/>
  <c r="AE16" i="40"/>
  <c r="AF35" i="40"/>
  <c r="AF40" i="40" s="1"/>
  <c r="AF16" i="40"/>
  <c r="U62" i="40"/>
  <c r="AE50" i="40"/>
  <c r="AF48" i="40"/>
  <c r="AF55" i="40"/>
  <c r="AG53" i="40"/>
  <c r="AG55" i="40" s="1"/>
  <c r="AC40" i="40"/>
  <c r="AF60" i="40"/>
  <c r="AG11" i="40"/>
  <c r="R26" i="40"/>
  <c r="R42" i="40" s="1"/>
  <c r="AG19" i="40"/>
  <c r="AG26" i="40" s="1"/>
  <c r="AG16" i="40" l="1"/>
  <c r="AK11" i="40"/>
  <c r="AK16" i="40" s="1"/>
  <c r="AF32" i="40"/>
  <c r="G391" i="34"/>
  <c r="D391" i="34"/>
  <c r="E391" i="34" s="1"/>
  <c r="H391" i="34" s="1"/>
  <c r="C392" i="34"/>
  <c r="G210" i="34"/>
  <c r="C211" i="34"/>
  <c r="D210" i="34"/>
  <c r="E210" i="34" s="1"/>
  <c r="H210" i="34" s="1"/>
  <c r="R64" i="40"/>
  <c r="AE62" i="40"/>
  <c r="AC67" i="40"/>
  <c r="AC69" i="40" s="1"/>
  <c r="AC71" i="40" s="1"/>
  <c r="AC42" i="40"/>
  <c r="U64" i="40"/>
  <c r="AF42" i="40"/>
  <c r="AE42" i="40"/>
  <c r="AD64" i="40"/>
  <c r="AD67" i="40" s="1"/>
  <c r="AF50" i="40"/>
  <c r="AG48" i="40"/>
  <c r="AG35" i="40"/>
  <c r="AG40" i="40" s="1"/>
  <c r="AG60" i="40"/>
  <c r="AK58" i="40"/>
  <c r="AK60" i="40" s="1"/>
  <c r="AK19" i="40"/>
  <c r="AK26" i="40" s="1"/>
  <c r="AK29" i="40"/>
  <c r="AK32" i="40" s="1"/>
  <c r="AK53" i="40"/>
  <c r="AJ69" i="40"/>
  <c r="AJ71" i="40" s="1"/>
  <c r="C393" i="34" l="1"/>
  <c r="D392" i="34"/>
  <c r="E392" i="34" s="1"/>
  <c r="H392" i="34" s="1"/>
  <c r="G392" i="34"/>
  <c r="G211" i="34"/>
  <c r="C212" i="34"/>
  <c r="D211" i="34"/>
  <c r="E211" i="34" s="1"/>
  <c r="H211" i="34" s="1"/>
  <c r="AE64" i="40"/>
  <c r="AE67" i="40" s="1"/>
  <c r="AE69" i="40" s="1"/>
  <c r="AE71" i="40" s="1"/>
  <c r="AG42" i="40"/>
  <c r="AF62" i="40"/>
  <c r="AF64" i="40" s="1"/>
  <c r="AF67" i="40" s="1"/>
  <c r="AD69" i="40"/>
  <c r="D22" i="3" s="1"/>
  <c r="D64" i="3"/>
  <c r="AG50" i="40"/>
  <c r="AG62" i="40" s="1"/>
  <c r="AK48" i="40"/>
  <c r="AK50" i="40" s="1"/>
  <c r="AK35" i="40"/>
  <c r="AK40" i="40" s="1"/>
  <c r="AK55" i="40"/>
  <c r="D393" i="34" l="1"/>
  <c r="E393" i="34" s="1"/>
  <c r="H393" i="34" s="1"/>
  <c r="G393" i="34"/>
  <c r="C213" i="34"/>
  <c r="G212" i="34"/>
  <c r="D212" i="34"/>
  <c r="E212" i="34" s="1"/>
  <c r="H212" i="34" s="1"/>
  <c r="AG64" i="40"/>
  <c r="E64" i="3"/>
  <c r="AF69" i="40"/>
  <c r="AF71" i="40" s="1"/>
  <c r="AG67" i="40"/>
  <c r="AD71" i="40"/>
  <c r="AK62" i="40"/>
  <c r="AK42" i="40"/>
  <c r="G213" i="34" l="1"/>
  <c r="C214" i="34"/>
  <c r="D213" i="34"/>
  <c r="E213" i="34" s="1"/>
  <c r="H213" i="34" s="1"/>
  <c r="AI42" i="40"/>
  <c r="E22" i="3"/>
  <c r="AG69" i="40"/>
  <c r="AG71" i="40"/>
  <c r="AK64" i="40"/>
  <c r="AK67" i="40" s="1"/>
  <c r="AK69" i="40" s="1"/>
  <c r="AK71" i="40" s="1"/>
  <c r="O113" i="30"/>
  <c r="G214" i="34" l="1"/>
  <c r="C215" i="34"/>
  <c r="D214" i="34"/>
  <c r="E214" i="34" s="1"/>
  <c r="H214" i="34" s="1"/>
  <c r="P49" i="30"/>
  <c r="O49" i="30"/>
  <c r="J33" i="30"/>
  <c r="G34" i="30"/>
  <c r="D35" i="30"/>
  <c r="L35" i="30"/>
  <c r="I36" i="30"/>
  <c r="F37" i="30"/>
  <c r="N37" i="30"/>
  <c r="K38" i="30"/>
  <c r="H39" i="30"/>
  <c r="E40" i="30"/>
  <c r="M40" i="30"/>
  <c r="J41" i="30"/>
  <c r="G42" i="30"/>
  <c r="D43" i="30"/>
  <c r="L43" i="30"/>
  <c r="I44" i="30"/>
  <c r="F45" i="30"/>
  <c r="N45" i="30"/>
  <c r="K46" i="30"/>
  <c r="H47" i="30"/>
  <c r="E48" i="30"/>
  <c r="M48" i="30"/>
  <c r="C40" i="30"/>
  <c r="C48" i="30"/>
  <c r="L34" i="30"/>
  <c r="K37" i="30"/>
  <c r="L42" i="30"/>
  <c r="M47" i="30"/>
  <c r="K33" i="30"/>
  <c r="H34" i="30"/>
  <c r="E35" i="30"/>
  <c r="M35" i="30"/>
  <c r="J36" i="30"/>
  <c r="G37" i="30"/>
  <c r="D38" i="30"/>
  <c r="L38" i="30"/>
  <c r="I39" i="30"/>
  <c r="F40" i="30"/>
  <c r="N40" i="30"/>
  <c r="K41" i="30"/>
  <c r="H42" i="30"/>
  <c r="E43" i="30"/>
  <c r="M43" i="30"/>
  <c r="J44" i="30"/>
  <c r="G45" i="30"/>
  <c r="D46" i="30"/>
  <c r="L46" i="30"/>
  <c r="I47" i="30"/>
  <c r="F48" i="30"/>
  <c r="N48" i="30"/>
  <c r="C41" i="30"/>
  <c r="G33" i="30"/>
  <c r="E39" i="30"/>
  <c r="N44" i="30"/>
  <c r="C45" i="30"/>
  <c r="D33" i="30"/>
  <c r="L33" i="30"/>
  <c r="I34" i="30"/>
  <c r="F35" i="30"/>
  <c r="N35" i="30"/>
  <c r="K36" i="30"/>
  <c r="H37" i="30"/>
  <c r="E38" i="30"/>
  <c r="M38" i="30"/>
  <c r="J39" i="30"/>
  <c r="G40" i="30"/>
  <c r="D41" i="30"/>
  <c r="L41" i="30"/>
  <c r="I42" i="30"/>
  <c r="F43" i="30"/>
  <c r="N43" i="30"/>
  <c r="K44" i="30"/>
  <c r="H45" i="30"/>
  <c r="E46" i="30"/>
  <c r="M46" i="30"/>
  <c r="J47" i="30"/>
  <c r="G48" i="30"/>
  <c r="C34" i="30"/>
  <c r="C42" i="30"/>
  <c r="D42" i="30"/>
  <c r="E33" i="30"/>
  <c r="M33" i="30"/>
  <c r="J34" i="30"/>
  <c r="G35" i="30"/>
  <c r="D36" i="30"/>
  <c r="L36" i="30"/>
  <c r="I37" i="30"/>
  <c r="F38" i="30"/>
  <c r="N38" i="30"/>
  <c r="K39" i="30"/>
  <c r="H40" i="30"/>
  <c r="E41" i="30"/>
  <c r="M41" i="30"/>
  <c r="J42" i="30"/>
  <c r="G43" i="30"/>
  <c r="D44" i="30"/>
  <c r="L44" i="30"/>
  <c r="I45" i="30"/>
  <c r="F46" i="30"/>
  <c r="N46" i="30"/>
  <c r="K47" i="30"/>
  <c r="H48" i="30"/>
  <c r="C35" i="30"/>
  <c r="C43" i="30"/>
  <c r="I35" i="30"/>
  <c r="H38" i="30"/>
  <c r="I43" i="30"/>
  <c r="E47" i="30"/>
  <c r="F33" i="30"/>
  <c r="N33" i="30"/>
  <c r="K34" i="30"/>
  <c r="H35" i="30"/>
  <c r="E36" i="30"/>
  <c r="M36" i="30"/>
  <c r="J37" i="30"/>
  <c r="G38" i="30"/>
  <c r="D39" i="30"/>
  <c r="L39" i="30"/>
  <c r="I40" i="30"/>
  <c r="F41" i="30"/>
  <c r="N41" i="30"/>
  <c r="K42" i="30"/>
  <c r="H43" i="30"/>
  <c r="E44" i="30"/>
  <c r="M44" i="30"/>
  <c r="J45" i="30"/>
  <c r="G46" i="30"/>
  <c r="D47" i="30"/>
  <c r="L47" i="30"/>
  <c r="I48" i="30"/>
  <c r="C36" i="30"/>
  <c r="C44" i="30"/>
  <c r="D34" i="30"/>
  <c r="M39" i="30"/>
  <c r="H46" i="30"/>
  <c r="H33" i="30"/>
  <c r="E34" i="30"/>
  <c r="M34" i="30"/>
  <c r="J35" i="30"/>
  <c r="G36" i="30"/>
  <c r="D37" i="30"/>
  <c r="L37" i="30"/>
  <c r="I38" i="30"/>
  <c r="F39" i="30"/>
  <c r="N39" i="30"/>
  <c r="K40" i="30"/>
  <c r="H41" i="30"/>
  <c r="E42" i="30"/>
  <c r="M42" i="30"/>
  <c r="J43" i="30"/>
  <c r="G44" i="30"/>
  <c r="D45" i="30"/>
  <c r="L45" i="30"/>
  <c r="I46" i="30"/>
  <c r="F47" i="30"/>
  <c r="N47" i="30"/>
  <c r="K48" i="30"/>
  <c r="C38" i="30"/>
  <c r="C46" i="30"/>
  <c r="F36" i="30"/>
  <c r="G41" i="30"/>
  <c r="K45" i="30"/>
  <c r="J48" i="30"/>
  <c r="I33" i="30"/>
  <c r="F34" i="30"/>
  <c r="N34" i="30"/>
  <c r="K35" i="30"/>
  <c r="H36" i="30"/>
  <c r="E37" i="30"/>
  <c r="M37" i="30"/>
  <c r="J38" i="30"/>
  <c r="G39" i="30"/>
  <c r="D40" i="30"/>
  <c r="L40" i="30"/>
  <c r="I41" i="30"/>
  <c r="F42" i="30"/>
  <c r="N42" i="30"/>
  <c r="K43" i="30"/>
  <c r="H44" i="30"/>
  <c r="E45" i="30"/>
  <c r="M45" i="30"/>
  <c r="J46" i="30"/>
  <c r="G47" i="30"/>
  <c r="D48" i="30"/>
  <c r="L48" i="30"/>
  <c r="C39" i="30"/>
  <c r="C47" i="30"/>
  <c r="N36" i="30"/>
  <c r="J40" i="30"/>
  <c r="F44" i="30"/>
  <c r="C37" i="30"/>
  <c r="G215" i="34" l="1"/>
  <c r="C216" i="34"/>
  <c r="D215" i="34"/>
  <c r="E215" i="34" s="1"/>
  <c r="H215" i="34" s="1"/>
  <c r="H52" i="30"/>
  <c r="M52" i="30"/>
  <c r="E52" i="30"/>
  <c r="L52" i="30"/>
  <c r="I52" i="30"/>
  <c r="D52" i="30"/>
  <c r="K52" i="30"/>
  <c r="G52" i="30"/>
  <c r="N52" i="30"/>
  <c r="J52" i="30"/>
  <c r="F52" i="30"/>
  <c r="O46" i="30"/>
  <c r="P46" i="30"/>
  <c r="C217" i="34" l="1"/>
  <c r="G216" i="34"/>
  <c r="D216" i="34"/>
  <c r="E216" i="34" s="1"/>
  <c r="H216" i="34" s="1"/>
  <c r="H135" i="1"/>
  <c r="H97" i="24" s="1"/>
  <c r="G217" i="34" l="1"/>
  <c r="C218" i="34"/>
  <c r="D217" i="34"/>
  <c r="E217" i="34" s="1"/>
  <c r="H217" i="34" s="1"/>
  <c r="D11" i="17"/>
  <c r="C219" i="34" l="1"/>
  <c r="G218" i="34"/>
  <c r="D218" i="34"/>
  <c r="E218" i="34" s="1"/>
  <c r="H218" i="34" s="1"/>
  <c r="E15" i="3"/>
  <c r="AD275" i="39"/>
  <c r="V275" i="39"/>
  <c r="Y275" i="39"/>
  <c r="U275" i="39"/>
  <c r="AC275" i="39"/>
  <c r="AB275" i="39"/>
  <c r="D14" i="17" s="1"/>
  <c r="X275" i="39"/>
  <c r="AE275" i="39"/>
  <c r="W275" i="39"/>
  <c r="G219" i="34" l="1"/>
  <c r="D219" i="34"/>
  <c r="E219" i="34" s="1"/>
  <c r="H219" i="34" s="1"/>
  <c r="C220" i="34"/>
  <c r="D10" i="17"/>
  <c r="AF275" i="39"/>
  <c r="G220" i="34" l="1"/>
  <c r="D220" i="34"/>
  <c r="E220" i="34" s="1"/>
  <c r="H220" i="34" s="1"/>
  <c r="E27" i="15"/>
  <c r="E12" i="15" l="1"/>
  <c r="E14" i="15"/>
  <c r="E16" i="15"/>
  <c r="E21" i="15"/>
  <c r="E23" i="15"/>
  <c r="E18" i="15"/>
  <c r="E19" i="15"/>
  <c r="E15" i="15"/>
  <c r="C62" i="32" l="1"/>
  <c r="E62" i="32" s="1"/>
  <c r="E39" i="32"/>
  <c r="D20" i="32"/>
  <c r="E32" i="32"/>
  <c r="F28" i="32"/>
  <c r="G32" i="32"/>
  <c r="H28" i="32"/>
  <c r="I20" i="32"/>
  <c r="J20" i="32"/>
  <c r="K32" i="32"/>
  <c r="L20" i="32"/>
  <c r="M32" i="32"/>
  <c r="N28" i="32"/>
  <c r="O20" i="32"/>
  <c r="C28" i="32"/>
  <c r="E20" i="32" l="1"/>
  <c r="M20" i="32"/>
  <c r="G20" i="32"/>
  <c r="L32" i="32"/>
  <c r="D32" i="32"/>
  <c r="D28" i="32"/>
  <c r="O32" i="32"/>
  <c r="F20" i="32"/>
  <c r="E56" i="32"/>
  <c r="O28" i="32"/>
  <c r="L28" i="32"/>
  <c r="J28" i="32"/>
  <c r="N20" i="32"/>
  <c r="G28" i="32"/>
  <c r="C20" i="32"/>
  <c r="H20" i="32"/>
  <c r="M28" i="32"/>
  <c r="E28" i="32"/>
  <c r="J32" i="32"/>
  <c r="E47" i="32"/>
  <c r="I32" i="32"/>
  <c r="K28" i="32"/>
  <c r="C32" i="32"/>
  <c r="H32" i="32"/>
  <c r="I28" i="32"/>
  <c r="N32" i="32"/>
  <c r="F32" i="32"/>
  <c r="K20" i="32"/>
  <c r="E13" i="21"/>
  <c r="C73" i="35" l="1"/>
  <c r="C79" i="35"/>
  <c r="E120" i="10" l="1"/>
  <c r="O90" i="30" l="1"/>
  <c r="F44" i="27" l="1"/>
  <c r="O111" i="30" l="1"/>
  <c r="G66" i="30" l="1"/>
  <c r="K66" i="30"/>
  <c r="C66" i="30"/>
  <c r="J66" i="30" l="1"/>
  <c r="I66" i="30"/>
  <c r="H66" i="30"/>
  <c r="N66" i="30"/>
  <c r="F66" i="30"/>
  <c r="M66" i="30"/>
  <c r="E66" i="30"/>
  <c r="L66" i="30"/>
  <c r="D66" i="30"/>
  <c r="O112" i="30"/>
  <c r="E100" i="29" s="1"/>
  <c r="O64" i="30"/>
  <c r="O60" i="30"/>
  <c r="O110" i="30"/>
  <c r="P62" i="30"/>
  <c r="P58" i="30"/>
  <c r="O109" i="30"/>
  <c r="O62" i="30"/>
  <c r="O58" i="30"/>
  <c r="O108" i="30"/>
  <c r="O107" i="30"/>
  <c r="O65" i="30"/>
  <c r="O63" i="30"/>
  <c r="O61" i="30"/>
  <c r="O59" i="30"/>
  <c r="P65" i="30"/>
  <c r="P61" i="30"/>
  <c r="P64" i="30"/>
  <c r="P60" i="30"/>
  <c r="P63" i="30"/>
  <c r="P59" i="30"/>
  <c r="E99" i="29" l="1"/>
  <c r="E97" i="29"/>
  <c r="O66" i="30"/>
  <c r="P66" i="30"/>
  <c r="H187" i="1" l="1"/>
  <c r="D27" i="30" l="1"/>
  <c r="C23" i="30"/>
  <c r="F23" i="30"/>
  <c r="G23" i="30"/>
  <c r="N23" i="30"/>
  <c r="H23" i="30"/>
  <c r="E23" i="30"/>
  <c r="I23" i="30"/>
  <c r="K23" i="30"/>
  <c r="M23" i="30"/>
  <c r="L23" i="30"/>
  <c r="D23" i="30"/>
  <c r="J23" i="30"/>
  <c r="C33" i="30"/>
  <c r="C52" i="30" s="1"/>
  <c r="P52" i="30" s="1"/>
  <c r="O35" i="30" l="1"/>
  <c r="P35" i="30"/>
  <c r="P36" i="30"/>
  <c r="O36" i="30"/>
  <c r="P39" i="30"/>
  <c r="O39" i="30"/>
  <c r="O34" i="30"/>
  <c r="P34" i="30"/>
  <c r="P43" i="30"/>
  <c r="O43" i="30"/>
  <c r="O45" i="30"/>
  <c r="P45" i="30"/>
  <c r="P40" i="30"/>
  <c r="O40" i="30"/>
  <c r="O37" i="30"/>
  <c r="P37" i="30"/>
  <c r="P44" i="30"/>
  <c r="O44" i="30"/>
  <c r="P47" i="30"/>
  <c r="O47" i="30"/>
  <c r="O38" i="30"/>
  <c r="P38" i="30"/>
  <c r="O41" i="30"/>
  <c r="P41" i="30"/>
  <c r="O42" i="30"/>
  <c r="P42" i="30"/>
  <c r="O48" i="30"/>
  <c r="P48" i="30"/>
  <c r="P33" i="30"/>
  <c r="O33" i="30"/>
  <c r="C77" i="30"/>
  <c r="O52" i="30" l="1"/>
  <c r="H33" i="35" l="1"/>
  <c r="G33" i="35" l="1"/>
  <c r="I33" i="35"/>
  <c r="M42" i="21" l="1"/>
  <c r="L42" i="21"/>
  <c r="K42" i="21"/>
  <c r="J42" i="21"/>
  <c r="I42" i="21"/>
  <c r="H42" i="21"/>
  <c r="G42" i="21"/>
  <c r="F42" i="21"/>
  <c r="F13" i="21" s="1"/>
  <c r="F14" i="21" s="1"/>
  <c r="E42" i="21"/>
  <c r="D42" i="21"/>
  <c r="C42" i="21"/>
  <c r="B42" i="21"/>
  <c r="M37" i="21"/>
  <c r="L37" i="21"/>
  <c r="K37" i="21"/>
  <c r="J37" i="21"/>
  <c r="J12" i="21" s="1"/>
  <c r="J14" i="21" s="1"/>
  <c r="I37" i="21"/>
  <c r="H37" i="21"/>
  <c r="G37" i="21"/>
  <c r="F37" i="21"/>
  <c r="E37" i="21"/>
  <c r="D37" i="21"/>
  <c r="C37" i="21"/>
  <c r="B37" i="21"/>
  <c r="B12" i="21" s="1"/>
  <c r="M32" i="21"/>
  <c r="L32" i="21"/>
  <c r="K32" i="21"/>
  <c r="J32" i="21"/>
  <c r="I32" i="21"/>
  <c r="H32" i="21"/>
  <c r="G32" i="21"/>
  <c r="F32" i="21"/>
  <c r="E32" i="21"/>
  <c r="D32" i="21"/>
  <c r="C32" i="21"/>
  <c r="B32" i="21"/>
  <c r="M14" i="21"/>
  <c r="E14" i="21"/>
  <c r="M13" i="21"/>
  <c r="L13" i="21"/>
  <c r="K13" i="21"/>
  <c r="J13" i="21"/>
  <c r="I13" i="21"/>
  <c r="H13" i="21"/>
  <c r="G13" i="21"/>
  <c r="D13" i="21"/>
  <c r="C13" i="21"/>
  <c r="B13" i="21"/>
  <c r="L12" i="21"/>
  <c r="L14" i="21" s="1"/>
  <c r="K12" i="21"/>
  <c r="K14" i="21" s="1"/>
  <c r="I12" i="21"/>
  <c r="I14" i="21" s="1"/>
  <c r="H12" i="21"/>
  <c r="H14" i="21" s="1"/>
  <c r="G12" i="21"/>
  <c r="G14" i="21" s="1"/>
  <c r="F12" i="21"/>
  <c r="E12" i="21"/>
  <c r="D12" i="21"/>
  <c r="D14" i="21" s="1"/>
  <c r="C12" i="21"/>
  <c r="C14" i="21" s="1"/>
  <c r="O11" i="21"/>
  <c r="O10" i="21"/>
  <c r="O106" i="30"/>
  <c r="O105" i="30"/>
  <c r="O104" i="30"/>
  <c r="O103" i="30"/>
  <c r="O102" i="30"/>
  <c r="O101" i="30"/>
  <c r="O100" i="30"/>
  <c r="O99" i="30"/>
  <c r="O95" i="30"/>
  <c r="O94" i="30"/>
  <c r="O93" i="30"/>
  <c r="O89" i="30"/>
  <c r="A89" i="30"/>
  <c r="O88" i="30"/>
  <c r="A88" i="30"/>
  <c r="O87" i="30"/>
  <c r="A87" i="30"/>
  <c r="O86" i="30"/>
  <c r="A86" i="30"/>
  <c r="O85" i="30"/>
  <c r="A85" i="30"/>
  <c r="O84" i="30"/>
  <c r="A84" i="30"/>
  <c r="O83" i="30"/>
  <c r="A83" i="30"/>
  <c r="O82" i="30"/>
  <c r="A82" i="30"/>
  <c r="O81" i="30"/>
  <c r="A81" i="30"/>
  <c r="P57" i="30"/>
  <c r="O57" i="30"/>
  <c r="N29" i="30"/>
  <c r="M29" i="30"/>
  <c r="L29" i="30"/>
  <c r="K29" i="30"/>
  <c r="J29" i="30"/>
  <c r="I29" i="30"/>
  <c r="H29" i="30"/>
  <c r="G29" i="30"/>
  <c r="F29" i="30"/>
  <c r="E29" i="30"/>
  <c r="D29" i="30"/>
  <c r="C29" i="30"/>
  <c r="N28" i="30"/>
  <c r="M28" i="30"/>
  <c r="L28" i="30"/>
  <c r="K28" i="30"/>
  <c r="J28" i="30"/>
  <c r="I28" i="30"/>
  <c r="H28" i="30"/>
  <c r="G28" i="30"/>
  <c r="F28" i="30"/>
  <c r="E28" i="30"/>
  <c r="D28" i="30"/>
  <c r="C28" i="30"/>
  <c r="E13" i="25" s="1"/>
  <c r="N27" i="30"/>
  <c r="M27" i="30"/>
  <c r="L27" i="30"/>
  <c r="K27" i="30"/>
  <c r="J27" i="30"/>
  <c r="I27" i="30"/>
  <c r="H27" i="30"/>
  <c r="G27" i="30"/>
  <c r="F27" i="30"/>
  <c r="E27" i="30"/>
  <c r="C27" i="30"/>
  <c r="N22" i="30"/>
  <c r="M22" i="30"/>
  <c r="L22" i="30"/>
  <c r="K22" i="30"/>
  <c r="J22" i="30"/>
  <c r="I22" i="30"/>
  <c r="H22" i="30"/>
  <c r="G22" i="30"/>
  <c r="F22" i="30"/>
  <c r="E22" i="30"/>
  <c r="D22" i="30"/>
  <c r="C22" i="30"/>
  <c r="N21" i="30"/>
  <c r="M21" i="30"/>
  <c r="L21" i="30"/>
  <c r="K21" i="30"/>
  <c r="J21" i="30"/>
  <c r="I21" i="30"/>
  <c r="H21" i="30"/>
  <c r="G21" i="30"/>
  <c r="F21" i="30"/>
  <c r="E21" i="30"/>
  <c r="D21" i="30"/>
  <c r="N20" i="30"/>
  <c r="M20" i="30"/>
  <c r="L20" i="30"/>
  <c r="K20" i="30"/>
  <c r="J20" i="30"/>
  <c r="I20" i="30"/>
  <c r="H20" i="30"/>
  <c r="G20" i="30"/>
  <c r="F20" i="30"/>
  <c r="E20" i="30"/>
  <c r="D20" i="30"/>
  <c r="C20" i="30"/>
  <c r="N19" i="30"/>
  <c r="N72" i="30" s="1"/>
  <c r="M19" i="30"/>
  <c r="M72" i="30" s="1"/>
  <c r="L19" i="30"/>
  <c r="L72" i="30" s="1"/>
  <c r="K19" i="30"/>
  <c r="K72" i="30" s="1"/>
  <c r="J19" i="30"/>
  <c r="J72" i="30" s="1"/>
  <c r="I19" i="30"/>
  <c r="I72" i="30" s="1"/>
  <c r="H19" i="30"/>
  <c r="H72" i="30" s="1"/>
  <c r="G19" i="30"/>
  <c r="G72" i="30" s="1"/>
  <c r="F19" i="30"/>
  <c r="F72" i="30" s="1"/>
  <c r="E19" i="30"/>
  <c r="E72" i="30" s="1"/>
  <c r="D19" i="30"/>
  <c r="D72" i="30" s="1"/>
  <c r="C19" i="30"/>
  <c r="N18" i="30"/>
  <c r="N71" i="30" s="1"/>
  <c r="M18" i="30"/>
  <c r="M71" i="30" s="1"/>
  <c r="L18" i="30"/>
  <c r="L71" i="30" s="1"/>
  <c r="K18" i="30"/>
  <c r="K71" i="30" s="1"/>
  <c r="J18" i="30"/>
  <c r="J71" i="30" s="1"/>
  <c r="I18" i="30"/>
  <c r="I71" i="30" s="1"/>
  <c r="H18" i="30"/>
  <c r="H71" i="30" s="1"/>
  <c r="G18" i="30"/>
  <c r="G71" i="30" s="1"/>
  <c r="F18" i="30"/>
  <c r="F71" i="30" s="1"/>
  <c r="E18" i="30"/>
  <c r="E71" i="30" s="1"/>
  <c r="D18" i="30"/>
  <c r="D71" i="30" s="1"/>
  <c r="C18" i="30"/>
  <c r="C71" i="30" s="1"/>
  <c r="N17" i="30"/>
  <c r="N70" i="30" s="1"/>
  <c r="M17" i="30"/>
  <c r="M70" i="30" s="1"/>
  <c r="L17" i="30"/>
  <c r="L70" i="30" s="1"/>
  <c r="K17" i="30"/>
  <c r="K70" i="30" s="1"/>
  <c r="J17" i="30"/>
  <c r="J70" i="30" s="1"/>
  <c r="I17" i="30"/>
  <c r="I70" i="30" s="1"/>
  <c r="H17" i="30"/>
  <c r="H70" i="30" s="1"/>
  <c r="G17" i="30"/>
  <c r="G70" i="30" s="1"/>
  <c r="F17" i="30"/>
  <c r="F70" i="30" s="1"/>
  <c r="E17" i="30"/>
  <c r="E70" i="30" s="1"/>
  <c r="D17" i="30"/>
  <c r="D70" i="30" s="1"/>
  <c r="C17" i="30"/>
  <c r="C70" i="30" s="1"/>
  <c r="N16" i="30"/>
  <c r="M16" i="30"/>
  <c r="L16" i="30"/>
  <c r="K16" i="30"/>
  <c r="J16" i="30"/>
  <c r="I16" i="30"/>
  <c r="H16" i="30"/>
  <c r="G16" i="30"/>
  <c r="F16" i="30"/>
  <c r="E16" i="30"/>
  <c r="D16" i="30"/>
  <c r="C16" i="30"/>
  <c r="N15" i="30"/>
  <c r="M15" i="30"/>
  <c r="L15" i="30"/>
  <c r="K15" i="30"/>
  <c r="J15" i="30"/>
  <c r="I15" i="30"/>
  <c r="H15" i="30"/>
  <c r="G15" i="30"/>
  <c r="F15" i="30"/>
  <c r="E15" i="30"/>
  <c r="D15" i="30"/>
  <c r="C15" i="30"/>
  <c r="N14" i="30"/>
  <c r="M14" i="30"/>
  <c r="L14" i="30"/>
  <c r="K14" i="30"/>
  <c r="J14" i="30"/>
  <c r="I14" i="30"/>
  <c r="H14" i="30"/>
  <c r="G14" i="30"/>
  <c r="F14" i="30"/>
  <c r="E14" i="30"/>
  <c r="D14" i="30"/>
  <c r="N11" i="30"/>
  <c r="M11" i="30"/>
  <c r="L11" i="30"/>
  <c r="K11" i="30"/>
  <c r="J11" i="30"/>
  <c r="I11" i="30"/>
  <c r="H11" i="30"/>
  <c r="G11" i="30"/>
  <c r="F11" i="30"/>
  <c r="E11" i="30"/>
  <c r="D11" i="30"/>
  <c r="C11" i="30"/>
  <c r="O10" i="30"/>
  <c r="P9" i="30"/>
  <c r="O9" i="30"/>
  <c r="D88" i="35"/>
  <c r="D87" i="35"/>
  <c r="C17" i="21" l="1"/>
  <c r="C16" i="21"/>
  <c r="F16" i="21"/>
  <c r="F17" i="21"/>
  <c r="G16" i="21"/>
  <c r="G17" i="21"/>
  <c r="D16" i="21"/>
  <c r="D17" i="21"/>
  <c r="H17" i="21"/>
  <c r="H16" i="21"/>
  <c r="J17" i="21"/>
  <c r="J16" i="21"/>
  <c r="I17" i="21"/>
  <c r="I16" i="21"/>
  <c r="K16" i="21"/>
  <c r="K17" i="21"/>
  <c r="E16" i="21"/>
  <c r="E17" i="21"/>
  <c r="L17" i="21"/>
  <c r="L16" i="21"/>
  <c r="M16" i="21"/>
  <c r="M17" i="21"/>
  <c r="O23" i="30"/>
  <c r="P23" i="30"/>
  <c r="P70" i="30"/>
  <c r="O70" i="30"/>
  <c r="D24" i="30"/>
  <c r="K24" i="30"/>
  <c r="I24" i="30"/>
  <c r="L24" i="30"/>
  <c r="J24" i="30"/>
  <c r="H24" i="30"/>
  <c r="E24" i="30"/>
  <c r="M24" i="30"/>
  <c r="F24" i="30"/>
  <c r="N24" i="30"/>
  <c r="C75" i="30" s="1"/>
  <c r="G24" i="30"/>
  <c r="C24" i="30"/>
  <c r="K30" i="30"/>
  <c r="J30" i="30"/>
  <c r="E104" i="29"/>
  <c r="E103" i="29"/>
  <c r="E102" i="29"/>
  <c r="P28" i="30"/>
  <c r="E55" i="29" s="1"/>
  <c r="E105" i="29"/>
  <c r="N30" i="30"/>
  <c r="C76" i="30" s="1"/>
  <c r="I30" i="30"/>
  <c r="P19" i="30"/>
  <c r="F30" i="30"/>
  <c r="P15" i="30"/>
  <c r="P17" i="30"/>
  <c r="O29" i="30"/>
  <c r="D30" i="30"/>
  <c r="E30" i="30"/>
  <c r="M30" i="30"/>
  <c r="G30" i="30"/>
  <c r="O20" i="30"/>
  <c r="L30" i="30"/>
  <c r="H30" i="30"/>
  <c r="P27" i="30"/>
  <c r="O28" i="30"/>
  <c r="C5" i="25" s="1"/>
  <c r="P29" i="30"/>
  <c r="E68" i="29" s="1"/>
  <c r="P21" i="30"/>
  <c r="P20" i="30"/>
  <c r="O21" i="30"/>
  <c r="P22" i="30"/>
  <c r="P14" i="30"/>
  <c r="P16" i="30"/>
  <c r="O16" i="30"/>
  <c r="O17" i="30"/>
  <c r="P11" i="30"/>
  <c r="O8" i="21"/>
  <c r="O12" i="21"/>
  <c r="B14" i="21"/>
  <c r="O13" i="21"/>
  <c r="P71" i="30"/>
  <c r="O71" i="30"/>
  <c r="O14" i="30"/>
  <c r="O18" i="30"/>
  <c r="O22" i="30"/>
  <c r="O11" i="30"/>
  <c r="P18" i="30"/>
  <c r="C30" i="30"/>
  <c r="C72" i="30"/>
  <c r="O27" i="30"/>
  <c r="O15" i="30"/>
  <c r="O19" i="30"/>
  <c r="E108" i="29" l="1"/>
  <c r="F31" i="20"/>
  <c r="I31" i="20"/>
  <c r="F32" i="20"/>
  <c r="I32" i="20"/>
  <c r="F34" i="20"/>
  <c r="I34" i="20"/>
  <c r="F33" i="20"/>
  <c r="I33" i="20"/>
  <c r="O14" i="21"/>
  <c r="B17" i="21"/>
  <c r="B16" i="21"/>
  <c r="O17" i="21"/>
  <c r="O16" i="21"/>
  <c r="P24" i="30"/>
  <c r="O24" i="30"/>
  <c r="K54" i="30"/>
  <c r="C54" i="30"/>
  <c r="N54" i="30"/>
  <c r="M54" i="30"/>
  <c r="P30" i="30"/>
  <c r="O30" i="30"/>
  <c r="J54" i="30"/>
  <c r="F54" i="30"/>
  <c r="C78" i="30"/>
  <c r="D75" i="30" s="1"/>
  <c r="F16" i="29" s="1"/>
  <c r="G54" i="30"/>
  <c r="E54" i="30"/>
  <c r="D54" i="30"/>
  <c r="I54" i="30"/>
  <c r="H54" i="30"/>
  <c r="L54" i="30"/>
  <c r="P72" i="30"/>
  <c r="O72" i="30"/>
  <c r="P54" i="30" l="1"/>
  <c r="F35" i="20"/>
  <c r="G35" i="20" s="1"/>
  <c r="I35" i="20"/>
  <c r="J32" i="20" s="1"/>
  <c r="O54" i="30"/>
  <c r="D77" i="30"/>
  <c r="F18" i="29" s="1"/>
  <c r="D76" i="30"/>
  <c r="F17" i="29" s="1"/>
  <c r="J31" i="20" l="1"/>
  <c r="G31" i="20"/>
  <c r="J33" i="20"/>
  <c r="J35" i="20"/>
  <c r="J34" i="20"/>
  <c r="G33" i="20"/>
  <c r="G32" i="20"/>
  <c r="G34" i="20"/>
  <c r="Q30" i="30"/>
  <c r="Q52" i="30"/>
  <c r="F12" i="29" s="1"/>
  <c r="Q11" i="30"/>
  <c r="D78" i="30"/>
  <c r="Q24" i="30"/>
  <c r="Q54" i="30" l="1"/>
  <c r="F33" i="29"/>
  <c r="E10" i="6"/>
  <c r="E26" i="10" l="1"/>
  <c r="E51" i="10"/>
  <c r="L20" i="37" l="1"/>
  <c r="F87" i="2" s="1"/>
  <c r="P87" i="2" s="1"/>
  <c r="L19" i="37"/>
  <c r="F53" i="2" s="1"/>
  <c r="P53" i="2" s="1"/>
  <c r="L49" i="37"/>
  <c r="D115" i="12" s="1"/>
  <c r="L46" i="37"/>
  <c r="H104" i="1" l="1"/>
  <c r="I21" i="37" l="1"/>
  <c r="F7" i="2" s="1"/>
  <c r="H213" i="1" l="1"/>
  <c r="D17" i="32" l="1"/>
  <c r="E70" i="10" l="1"/>
  <c r="O17" i="32" l="1"/>
  <c r="N17" i="32"/>
  <c r="M17" i="32"/>
  <c r="L17" i="32"/>
  <c r="K17" i="32"/>
  <c r="J17" i="32"/>
  <c r="I17" i="32"/>
  <c r="H17" i="32"/>
  <c r="G17" i="32"/>
  <c r="F17" i="32"/>
  <c r="E17" i="32"/>
  <c r="C17" i="32"/>
  <c r="E64" i="32"/>
  <c r="E63" i="32"/>
  <c r="E58" i="32"/>
  <c r="E57" i="32"/>
  <c r="E51" i="32"/>
  <c r="E49" i="32"/>
  <c r="E48" i="32"/>
  <c r="E43" i="32"/>
  <c r="E41" i="32"/>
  <c r="E40" i="32"/>
  <c r="D65" i="32" l="1"/>
  <c r="D59" i="32"/>
  <c r="D50" i="32"/>
  <c r="D52" i="32" s="1"/>
  <c r="D42" i="32"/>
  <c r="D44" i="32" s="1"/>
  <c r="E65" i="32"/>
  <c r="E59" i="32"/>
  <c r="E50" i="32"/>
  <c r="E52" i="32" s="1"/>
  <c r="E42" i="32"/>
  <c r="E44" i="32" s="1"/>
  <c r="F22" i="3" l="1"/>
  <c r="E29" i="29" l="1"/>
  <c r="F64" i="3" l="1"/>
  <c r="L36" i="37" l="1"/>
  <c r="D23" i="14" s="1"/>
  <c r="L37" i="37"/>
  <c r="D14" i="14" s="1"/>
  <c r="L38" i="37"/>
  <c r="L39" i="37"/>
  <c r="L40" i="37"/>
  <c r="L41" i="37"/>
  <c r="L42" i="37"/>
  <c r="L43" i="37"/>
  <c r="L44" i="37"/>
  <c r="L45" i="37"/>
  <c r="H106" i="1" s="1"/>
  <c r="L47" i="37"/>
  <c r="H112" i="1" s="1"/>
  <c r="L48" i="37"/>
  <c r="H113" i="1" s="1"/>
  <c r="L50" i="37"/>
  <c r="H140" i="1" s="1"/>
  <c r="L51" i="37"/>
  <c r="H132" i="1" s="1"/>
  <c r="F97" i="24" s="1"/>
  <c r="H139" i="1"/>
  <c r="L53" i="37"/>
  <c r="H14" i="1"/>
  <c r="L55" i="37"/>
  <c r="H13" i="1" s="1"/>
  <c r="H105" i="1" l="1"/>
  <c r="E47" i="8"/>
  <c r="E49" i="8" s="1"/>
  <c r="D80" i="35" l="1"/>
  <c r="C75" i="35" l="1"/>
  <c r="I20" i="37" l="1"/>
  <c r="F75" i="2" s="1"/>
  <c r="I33" i="37"/>
  <c r="I34" i="37"/>
  <c r="I35" i="37"/>
  <c r="I36" i="37"/>
  <c r="I37" i="37"/>
  <c r="I38" i="37"/>
  <c r="I39" i="37"/>
  <c r="I40" i="37"/>
  <c r="I41" i="37"/>
  <c r="I42" i="37"/>
  <c r="I43" i="37"/>
  <c r="I44" i="37"/>
  <c r="I45" i="37"/>
  <c r="I46" i="37"/>
  <c r="I47" i="37"/>
  <c r="I48" i="37"/>
  <c r="I49" i="37"/>
  <c r="I50" i="37"/>
  <c r="I51" i="37"/>
  <c r="I53" i="37"/>
  <c r="I54" i="37"/>
  <c r="I55" i="37"/>
  <c r="F88" i="2" l="1"/>
  <c r="P75" i="2"/>
  <c r="P88" i="2" s="1"/>
  <c r="F13" i="25"/>
  <c r="B28" i="25" l="1"/>
  <c r="E58" i="35" l="1"/>
  <c r="E114" i="29" l="1"/>
  <c r="D81" i="35" l="1"/>
  <c r="J71" i="27" l="1"/>
  <c r="H44" i="27" l="1"/>
  <c r="H24" i="27"/>
  <c r="H284" i="1" l="1"/>
  <c r="E24" i="8" l="1"/>
  <c r="I28" i="37" l="1"/>
  <c r="H283" i="1" l="1"/>
  <c r="H281" i="1" l="1"/>
  <c r="G24" i="20" l="1"/>
  <c r="G23" i="20"/>
  <c r="G20" i="20"/>
  <c r="G13" i="20"/>
  <c r="B29" i="25"/>
  <c r="B31" i="25" s="1"/>
  <c r="C25" i="25"/>
  <c r="F24" i="25"/>
  <c r="F23" i="25"/>
  <c r="F22" i="25"/>
  <c r="F21" i="25"/>
  <c r="F20" i="25"/>
  <c r="F19" i="25"/>
  <c r="F18" i="25"/>
  <c r="F17" i="25"/>
  <c r="F16" i="25"/>
  <c r="F15" i="25"/>
  <c r="F14" i="25"/>
  <c r="E53" i="29"/>
  <c r="B50" i="29"/>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8" i="29"/>
  <c r="B9" i="29" s="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D25" i="33"/>
  <c r="H224" i="1" s="1"/>
  <c r="D22" i="33"/>
  <c r="D12" i="33"/>
  <c r="G88" i="35"/>
  <c r="G87" i="35"/>
  <c r="E81" i="35"/>
  <c r="F81" i="35" s="1"/>
  <c r="E80" i="35"/>
  <c r="F80" i="35" s="1"/>
  <c r="C81" i="35"/>
  <c r="C80" i="35"/>
  <c r="E64" i="35"/>
  <c r="E69" i="35" s="1"/>
  <c r="E68" i="35"/>
  <c r="E39" i="35"/>
  <c r="E33" i="35"/>
  <c r="E67" i="35" s="1"/>
  <c r="J90" i="27"/>
  <c r="H90" i="27"/>
  <c r="J82" i="27"/>
  <c r="L57" i="27"/>
  <c r="K57" i="27"/>
  <c r="J57" i="27"/>
  <c r="I57" i="27"/>
  <c r="H57" i="27"/>
  <c r="G57" i="27"/>
  <c r="F57" i="27"/>
  <c r="L49" i="27"/>
  <c r="K49" i="27"/>
  <c r="J49" i="27"/>
  <c r="I49" i="27"/>
  <c r="H49" i="27"/>
  <c r="L30" i="27"/>
  <c r="L77" i="27" s="1"/>
  <c r="L88" i="27" s="1"/>
  <c r="K30" i="27"/>
  <c r="K77" i="27" s="1"/>
  <c r="K88" i="27" s="1"/>
  <c r="J30" i="27"/>
  <c r="J77" i="27" s="1"/>
  <c r="J88" i="27" s="1"/>
  <c r="I30" i="27"/>
  <c r="I77" i="27" s="1"/>
  <c r="I88" i="27" s="1"/>
  <c r="H30" i="27"/>
  <c r="H77" i="27" s="1"/>
  <c r="H88" i="27" s="1"/>
  <c r="G30" i="27"/>
  <c r="G77" i="27" s="1"/>
  <c r="G88" i="27" s="1"/>
  <c r="F30" i="27"/>
  <c r="F77" i="27" s="1"/>
  <c r="F88" i="27" s="1"/>
  <c r="D23" i="17"/>
  <c r="D44" i="15"/>
  <c r="D33" i="15"/>
  <c r="D44" i="14"/>
  <c r="D46" i="14" s="1"/>
  <c r="F43" i="14"/>
  <c r="F42" i="14"/>
  <c r="F41" i="14"/>
  <c r="F40" i="14"/>
  <c r="F39" i="14"/>
  <c r="F38" i="14"/>
  <c r="F37" i="14"/>
  <c r="D97" i="12"/>
  <c r="D82" i="12"/>
  <c r="H91" i="1"/>
  <c r="E37" i="10"/>
  <c r="E12" i="10"/>
  <c r="E60" i="11"/>
  <c r="E55" i="11"/>
  <c r="E41" i="11"/>
  <c r="E34" i="8"/>
  <c r="E11" i="8"/>
  <c r="E45" i="6"/>
  <c r="G61" i="3"/>
  <c r="E51" i="3"/>
  <c r="D51" i="3"/>
  <c r="E31" i="3"/>
  <c r="D31" i="3"/>
  <c r="E25" i="3"/>
  <c r="D25" i="3"/>
  <c r="C65" i="32"/>
  <c r="C50" i="32"/>
  <c r="C52" i="32" s="1"/>
  <c r="C23" i="32"/>
  <c r="L23" i="32"/>
  <c r="E23" i="32"/>
  <c r="D23" i="32"/>
  <c r="J23" i="32"/>
  <c r="I23" i="32"/>
  <c r="H23" i="32"/>
  <c r="G23" i="32"/>
  <c r="F23" i="32"/>
  <c r="H282" i="1"/>
  <c r="H123"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F6" i="4"/>
  <c r="L35" i="37"/>
  <c r="D13" i="14" s="1"/>
  <c r="L34" i="37"/>
  <c r="D12" i="14" s="1"/>
  <c r="L33" i="37"/>
  <c r="D11" i="14" s="1"/>
  <c r="L32" i="37"/>
  <c r="L31" i="37"/>
  <c r="H234" i="1" s="1"/>
  <c r="L30" i="37"/>
  <c r="E24" i="11" s="1"/>
  <c r="E25" i="11" s="1"/>
  <c r="L29" i="37"/>
  <c r="E28" i="11" s="1"/>
  <c r="L28" i="37"/>
  <c r="E29" i="11" s="1"/>
  <c r="L26" i="37"/>
  <c r="F162" i="2" s="1"/>
  <c r="P162" i="2" s="1"/>
  <c r="L23" i="37"/>
  <c r="F70" i="2" s="1"/>
  <c r="P70" i="2" s="1"/>
  <c r="L18" i="37"/>
  <c r="F145" i="2" s="1"/>
  <c r="P145" i="2" s="1"/>
  <c r="L17" i="37"/>
  <c r="H227" i="1" s="1"/>
  <c r="L16" i="37"/>
  <c r="L15" i="37"/>
  <c r="L14" i="37"/>
  <c r="L13" i="37"/>
  <c r="L12" i="37"/>
  <c r="L11" i="37"/>
  <c r="H238" i="1" s="1"/>
  <c r="H230" i="1"/>
  <c r="H233" i="1"/>
  <c r="H232" i="1"/>
  <c r="H231" i="1"/>
  <c r="C5" i="38"/>
  <c r="C4" i="38"/>
  <c r="E62" i="11" l="1"/>
  <c r="D130" i="12"/>
  <c r="D99" i="12"/>
  <c r="H225" i="1"/>
  <c r="H117" i="1"/>
  <c r="H235" i="1"/>
  <c r="F51" i="29"/>
  <c r="F52" i="29"/>
  <c r="H285" i="1"/>
  <c r="E53" i="10"/>
  <c r="H243" i="1"/>
  <c r="H252" i="1" s="1"/>
  <c r="H239" i="1"/>
  <c r="E55" i="10"/>
  <c r="E28" i="10"/>
  <c r="E15" i="29"/>
  <c r="G81" i="35"/>
  <c r="G80" i="35"/>
  <c r="E26" i="8"/>
  <c r="E51" i="8"/>
  <c r="H80" i="1" s="1"/>
  <c r="G49" i="27"/>
  <c r="H78" i="1"/>
  <c r="E64" i="11"/>
  <c r="F49" i="27"/>
  <c r="D15" i="14"/>
  <c r="E73" i="6"/>
  <c r="H15" i="1"/>
  <c r="E30" i="11"/>
  <c r="E32" i="11" s="1"/>
  <c r="I11" i="37"/>
  <c r="I17" i="37"/>
  <c r="I16" i="37"/>
  <c r="I24" i="37"/>
  <c r="F99" i="2" s="1"/>
  <c r="I13" i="37"/>
  <c r="I15" i="37"/>
  <c r="I19" i="37"/>
  <c r="F41" i="2" s="1"/>
  <c r="I23" i="37"/>
  <c r="F58" i="2" s="1"/>
  <c r="P58" i="2" s="1"/>
  <c r="I25" i="37"/>
  <c r="F116" i="2" s="1"/>
  <c r="I30" i="37"/>
  <c r="I12" i="37"/>
  <c r="I14" i="37"/>
  <c r="I18" i="37"/>
  <c r="F133" i="2" s="1"/>
  <c r="I22" i="37"/>
  <c r="F24" i="2" s="1"/>
  <c r="I29" i="37"/>
  <c r="E14" i="11" s="1"/>
  <c r="I31" i="37"/>
  <c r="E15" i="11"/>
  <c r="D118" i="12"/>
  <c r="G89" i="35"/>
  <c r="I26" i="37"/>
  <c r="F150" i="2" s="1"/>
  <c r="N23" i="32"/>
  <c r="O23" i="32"/>
  <c r="M23" i="32"/>
  <c r="K23" i="32"/>
  <c r="D12" i="17"/>
  <c r="P17" i="32"/>
  <c r="F44" i="14"/>
  <c r="F51" i="15"/>
  <c r="B25" i="25"/>
  <c r="E95" i="10"/>
  <c r="E16" i="25"/>
  <c r="C18" i="38"/>
  <c r="P33" i="32"/>
  <c r="H53" i="1" s="1"/>
  <c r="C42" i="32"/>
  <c r="C44" i="32" s="1"/>
  <c r="E79" i="10"/>
  <c r="E104" i="10"/>
  <c r="H71" i="27"/>
  <c r="E20" i="25"/>
  <c r="E46" i="11"/>
  <c r="E48" i="11" s="1"/>
  <c r="P29" i="32"/>
  <c r="E44" i="14"/>
  <c r="H154" i="1" s="1"/>
  <c r="C59" i="32"/>
  <c r="E14" i="25"/>
  <c r="J24" i="27"/>
  <c r="E22" i="25"/>
  <c r="E17" i="25"/>
  <c r="E24" i="25"/>
  <c r="E18" i="25"/>
  <c r="E21" i="25"/>
  <c r="E15" i="25"/>
  <c r="E19" i="25"/>
  <c r="E23" i="25"/>
  <c r="I27" i="37"/>
  <c r="F167" i="2" s="1"/>
  <c r="P116" i="2" l="1"/>
  <c r="F71" i="2"/>
  <c r="P71" i="2"/>
  <c r="P41" i="2"/>
  <c r="P54" i="2" s="1"/>
  <c r="F54" i="2"/>
  <c r="P150" i="2"/>
  <c r="P163" i="2" s="1"/>
  <c r="F163" i="2"/>
  <c r="P24" i="2"/>
  <c r="P167" i="2"/>
  <c r="P133" i="2"/>
  <c r="P146" i="2" s="1"/>
  <c r="F146" i="2"/>
  <c r="H111" i="1"/>
  <c r="D125" i="12"/>
  <c r="H242" i="1"/>
  <c r="G82" i="35"/>
  <c r="H244" i="1"/>
  <c r="E10" i="11"/>
  <c r="E11" i="11" s="1"/>
  <c r="E34" i="11" s="1"/>
  <c r="F74" i="35"/>
  <c r="G74" i="35" s="1"/>
  <c r="E75" i="35"/>
  <c r="F75" i="35" s="1"/>
  <c r="G75" i="35" s="1"/>
  <c r="E16" i="11"/>
  <c r="L82" i="27"/>
  <c r="E81" i="10"/>
  <c r="P23" i="32"/>
  <c r="G41" i="3" s="1"/>
  <c r="F25" i="25"/>
  <c r="G15" i="25" s="1"/>
  <c r="E106" i="10"/>
  <c r="E25" i="25"/>
  <c r="H40" i="1"/>
  <c r="G54" i="3"/>
  <c r="H88" i="1"/>
  <c r="G13" i="25" l="1"/>
  <c r="P185" i="2"/>
  <c r="F93" i="2"/>
  <c r="P93" i="2"/>
  <c r="F185" i="2"/>
  <c r="H251" i="1"/>
  <c r="H255" i="1" s="1"/>
  <c r="H258" i="1" s="1"/>
  <c r="H87" i="1"/>
  <c r="E18" i="11"/>
  <c r="H245" i="1"/>
  <c r="E62" i="29"/>
  <c r="G76" i="35"/>
  <c r="G14" i="25"/>
  <c r="G16" i="25"/>
  <c r="G17" i="25"/>
  <c r="F6" i="20"/>
  <c r="E58" i="29" l="1"/>
  <c r="E63" i="29" s="1"/>
  <c r="E57" i="29"/>
  <c r="H89" i="1"/>
  <c r="H248" i="1"/>
  <c r="H249" i="1"/>
  <c r="H257" i="1" s="1"/>
  <c r="E18" i="29"/>
  <c r="E16" i="20"/>
  <c r="E17" i="20"/>
  <c r="G17" i="20" s="1"/>
  <c r="F14" i="20"/>
  <c r="G14" i="20" s="1"/>
  <c r="F15" i="20"/>
  <c r="G15" i="20" s="1"/>
  <c r="F7" i="20"/>
  <c r="G7" i="20" s="1"/>
  <c r="E17" i="29"/>
  <c r="E67" i="29" l="1"/>
  <c r="E69" i="29" s="1"/>
  <c r="E59" i="29"/>
  <c r="F57" i="29" s="1"/>
  <c r="H256" i="1"/>
  <c r="E64" i="29"/>
  <c r="G6" i="20"/>
  <c r="G16" i="20"/>
  <c r="E26" i="20"/>
  <c r="E32" i="20" l="1"/>
  <c r="E31" i="20"/>
  <c r="E33" i="20"/>
  <c r="E34" i="20"/>
  <c r="F58" i="29"/>
  <c r="E71" i="29"/>
  <c r="F69" i="29" s="1"/>
  <c r="H173" i="1"/>
  <c r="E16" i="29"/>
  <c r="F19" i="29"/>
  <c r="E35" i="20" l="1"/>
  <c r="H168" i="1"/>
  <c r="F64" i="29"/>
  <c r="F71" i="29" s="1"/>
  <c r="E19" i="29"/>
  <c r="D49" i="3" l="1"/>
  <c r="H53" i="24" l="1"/>
  <c r="H54" i="24" s="1"/>
  <c r="H55" i="24" s="1"/>
  <c r="H56" i="24" s="1"/>
  <c r="H57" i="24" s="1"/>
  <c r="H58" i="24" s="1"/>
  <c r="H59" i="24" s="1"/>
  <c r="H60" i="24" s="1"/>
  <c r="H61" i="24" s="1"/>
  <c r="H62" i="24" s="1"/>
  <c r="H63" i="24" s="1"/>
  <c r="H64" i="24" s="1"/>
  <c r="H65" i="24" s="1"/>
  <c r="H67" i="24" s="1"/>
  <c r="F48" i="3" l="1"/>
  <c r="E49" i="3"/>
  <c r="H48" i="3" l="1"/>
  <c r="H49" i="3" s="1"/>
  <c r="F49" i="3"/>
  <c r="F9" i="29" l="1"/>
  <c r="F30" i="29"/>
  <c r="E21" i="29" l="1"/>
  <c r="F31" i="29"/>
  <c r="E31" i="29" s="1"/>
  <c r="F10" i="29"/>
  <c r="F32" i="29"/>
  <c r="E32" i="29" s="1"/>
  <c r="F11" i="29"/>
  <c r="E30" i="29"/>
  <c r="E33" i="29"/>
  <c r="F34" i="29" l="1"/>
  <c r="E34" i="29"/>
  <c r="E38" i="6" l="1"/>
  <c r="L21" i="37" l="1"/>
  <c r="L25" i="37"/>
  <c r="F128" i="2" s="1"/>
  <c r="L24" i="37"/>
  <c r="F111" i="2" s="1"/>
  <c r="L27" i="37"/>
  <c r="F179" i="2" s="1"/>
  <c r="L22" i="37"/>
  <c r="F36" i="2" s="1"/>
  <c r="P179" i="2" l="1"/>
  <c r="P180" i="2" s="1"/>
  <c r="F180" i="2"/>
  <c r="P128" i="2"/>
  <c r="P129" i="2" s="1"/>
  <c r="F129" i="2"/>
  <c r="F32" i="24"/>
  <c r="F112" i="2"/>
  <c r="P36" i="2"/>
  <c r="P37" i="2" s="1"/>
  <c r="F37" i="2"/>
  <c r="F11" i="24"/>
  <c r="F110" i="24" s="1"/>
  <c r="F20" i="2"/>
  <c r="H50" i="1"/>
  <c r="F83" i="24" l="1"/>
  <c r="F91" i="2"/>
  <c r="F183" i="2"/>
  <c r="F45" i="24"/>
  <c r="F24" i="24"/>
  <c r="H37" i="1"/>
  <c r="F54" i="24" l="1"/>
  <c r="F55" i="24" s="1"/>
  <c r="F56" i="24" s="1"/>
  <c r="F123" i="24"/>
  <c r="F95" i="24"/>
  <c r="K24" i="27"/>
  <c r="F57" i="24" l="1"/>
  <c r="F58" i="24" s="1"/>
  <c r="F59" i="24" s="1"/>
  <c r="F60" i="24" s="1"/>
  <c r="F61" i="24" s="1"/>
  <c r="F62" i="24" s="1"/>
  <c r="F63" i="24" s="1"/>
  <c r="F64" i="24" s="1"/>
  <c r="F65" i="24" s="1"/>
  <c r="F67" i="24" s="1"/>
  <c r="E29" i="3"/>
  <c r="H51" i="27"/>
  <c r="J51" i="27"/>
  <c r="E19" i="3"/>
  <c r="E23" i="3" s="1"/>
  <c r="E59" i="3"/>
  <c r="E39" i="3" l="1"/>
  <c r="K71" i="27" l="1"/>
  <c r="L71" i="27" l="1"/>
  <c r="M67" i="27" l="1"/>
  <c r="M65" i="27"/>
  <c r="L51" i="27"/>
  <c r="M66" i="27"/>
  <c r="K51" i="27"/>
  <c r="G71" i="27" l="1"/>
  <c r="M59" i="27"/>
  <c r="M60" i="27"/>
  <c r="F71" i="27"/>
  <c r="M68" i="27"/>
  <c r="M69" i="27"/>
  <c r="M62" i="27"/>
  <c r="I71" i="27"/>
  <c r="M63" i="27"/>
  <c r="M70" i="27"/>
  <c r="N83" i="24" s="1"/>
  <c r="M61" i="27"/>
  <c r="M64" i="27"/>
  <c r="N84" i="24" l="1"/>
  <c r="N85" i="24" s="1"/>
  <c r="P83" i="24"/>
  <c r="G24" i="27"/>
  <c r="M71" i="27"/>
  <c r="H136" i="1" s="1"/>
  <c r="M38" i="27"/>
  <c r="N106" i="2" s="1"/>
  <c r="P106" i="2" s="1"/>
  <c r="R39" i="24" s="1"/>
  <c r="F51" i="27"/>
  <c r="M36" i="27"/>
  <c r="N104" i="2" s="1"/>
  <c r="P104" i="2" s="1"/>
  <c r="R37" i="24" s="1"/>
  <c r="M21" i="27"/>
  <c r="N17" i="2" s="1"/>
  <c r="P17" i="2" s="1"/>
  <c r="R21" i="24" s="1"/>
  <c r="M43" i="27"/>
  <c r="M39" i="27"/>
  <c r="N107" i="2" s="1"/>
  <c r="M42" i="27"/>
  <c r="N110" i="2" s="1"/>
  <c r="P110" i="2" s="1"/>
  <c r="R43" i="24" s="1"/>
  <c r="M34" i="27"/>
  <c r="N102" i="2" s="1"/>
  <c r="P102" i="2" s="1"/>
  <c r="R35" i="24" s="1"/>
  <c r="M41" i="27"/>
  <c r="N109" i="2" s="1"/>
  <c r="P109" i="2" s="1"/>
  <c r="R42" i="24" s="1"/>
  <c r="M33" i="27"/>
  <c r="N101" i="2" s="1"/>
  <c r="P101" i="2" s="1"/>
  <c r="R34" i="24" s="1"/>
  <c r="G51" i="27"/>
  <c r="M14" i="27"/>
  <c r="N10" i="2" s="1"/>
  <c r="P10" i="2" s="1"/>
  <c r="R14" i="24" s="1"/>
  <c r="M37" i="27"/>
  <c r="N105" i="2" s="1"/>
  <c r="P105" i="2" s="1"/>
  <c r="R38" i="24" s="1"/>
  <c r="M35" i="27"/>
  <c r="N103" i="2" s="1"/>
  <c r="P103" i="2" s="1"/>
  <c r="R36" i="24" s="1"/>
  <c r="M19" i="27"/>
  <c r="N15" i="2" s="1"/>
  <c r="P15" i="2" s="1"/>
  <c r="R19" i="24" s="1"/>
  <c r="I51" i="27"/>
  <c r="M15" i="27"/>
  <c r="N11" i="2" s="1"/>
  <c r="P11" i="2" s="1"/>
  <c r="R15" i="24" s="1"/>
  <c r="M40" i="27"/>
  <c r="N108" i="2" s="1"/>
  <c r="P108" i="2" s="1"/>
  <c r="R41" i="24" s="1"/>
  <c r="M32" i="27"/>
  <c r="N100" i="2" s="1"/>
  <c r="P100" i="2" s="1"/>
  <c r="R33" i="24" s="1"/>
  <c r="P107" i="2" l="1"/>
  <c r="R40" i="24" s="1"/>
  <c r="N97" i="24"/>
  <c r="P97" i="24" s="1"/>
  <c r="P84" i="24"/>
  <c r="N32" i="24"/>
  <c r="N111" i="2"/>
  <c r="M18" i="27"/>
  <c r="N14" i="2" s="1"/>
  <c r="P14" i="2" s="1"/>
  <c r="R18" i="24" s="1"/>
  <c r="M20" i="27"/>
  <c r="N16" i="2" s="1"/>
  <c r="P16" i="2" s="1"/>
  <c r="R20" i="24" s="1"/>
  <c r="M17" i="27"/>
  <c r="N13" i="2" s="1"/>
  <c r="P13" i="2" s="1"/>
  <c r="R17" i="24" s="1"/>
  <c r="M23" i="27"/>
  <c r="M16" i="27"/>
  <c r="N12" i="2" s="1"/>
  <c r="P12" i="2" s="1"/>
  <c r="R16" i="24" s="1"/>
  <c r="M13" i="27"/>
  <c r="N9" i="2" s="1"/>
  <c r="P9" i="2" s="1"/>
  <c r="R13" i="24" s="1"/>
  <c r="I24" i="27"/>
  <c r="F24" i="27"/>
  <c r="F89" i="27" s="1"/>
  <c r="M22" i="27"/>
  <c r="N18" i="2" s="1"/>
  <c r="P18" i="2" s="1"/>
  <c r="R22" i="24" s="1"/>
  <c r="I44" i="27"/>
  <c r="M51" i="27"/>
  <c r="M12" i="27"/>
  <c r="N8" i="2" s="1"/>
  <c r="P8" i="2" s="1"/>
  <c r="R12" i="24" s="1"/>
  <c r="P111" i="2" l="1"/>
  <c r="R44" i="24" s="1"/>
  <c r="E43" i="3"/>
  <c r="N53" i="24" s="1"/>
  <c r="N86" i="24"/>
  <c r="P85" i="24"/>
  <c r="N33" i="24"/>
  <c r="P32" i="24"/>
  <c r="N11" i="24"/>
  <c r="N19" i="2"/>
  <c r="P19" i="2" s="1"/>
  <c r="R23" i="24" s="1"/>
  <c r="I89" i="27"/>
  <c r="I90" i="27" s="1"/>
  <c r="P69" i="24" l="1"/>
  <c r="P86" i="24"/>
  <c r="N87" i="24"/>
  <c r="P33" i="24"/>
  <c r="T33" i="24" s="1"/>
  <c r="N34" i="24"/>
  <c r="N12" i="24"/>
  <c r="P11" i="24"/>
  <c r="P53" i="24"/>
  <c r="E45" i="3"/>
  <c r="E61" i="3" s="1"/>
  <c r="N88" i="24" l="1"/>
  <c r="P87" i="24"/>
  <c r="N35" i="24"/>
  <c r="P34" i="24"/>
  <c r="N110" i="24"/>
  <c r="N13" i="24"/>
  <c r="P12" i="24"/>
  <c r="T12" i="24" s="1"/>
  <c r="K44" i="27"/>
  <c r="K89" i="27" s="1"/>
  <c r="K90" i="27" s="1"/>
  <c r="N89" i="24" l="1"/>
  <c r="P88" i="24"/>
  <c r="T34" i="24"/>
  <c r="P35" i="24"/>
  <c r="T35" i="24" s="1"/>
  <c r="N36" i="24"/>
  <c r="P13" i="24"/>
  <c r="T13" i="24" s="1"/>
  <c r="N14" i="24"/>
  <c r="N111" i="24"/>
  <c r="P110" i="24"/>
  <c r="N54" i="24"/>
  <c r="P54" i="24" s="1"/>
  <c r="G44" i="27"/>
  <c r="N90" i="24" l="1"/>
  <c r="P89" i="24"/>
  <c r="P36" i="24"/>
  <c r="T36" i="24" s="1"/>
  <c r="N37" i="24"/>
  <c r="P111" i="24"/>
  <c r="N55" i="24"/>
  <c r="P55" i="24" s="1"/>
  <c r="N15" i="24"/>
  <c r="N112" i="24"/>
  <c r="P14" i="24"/>
  <c r="G89" i="27"/>
  <c r="G90" i="27" s="1"/>
  <c r="F90" i="27"/>
  <c r="P90" i="24" l="1"/>
  <c r="N91" i="24"/>
  <c r="P37" i="24"/>
  <c r="N38" i="24"/>
  <c r="N113" i="24"/>
  <c r="N16" i="24"/>
  <c r="P15" i="24"/>
  <c r="T15" i="24" s="1"/>
  <c r="T14" i="24"/>
  <c r="P112" i="24"/>
  <c r="N56" i="24"/>
  <c r="P56" i="24" s="1"/>
  <c r="J44" i="27"/>
  <c r="P91" i="24" l="1"/>
  <c r="N92" i="24"/>
  <c r="N39" i="24"/>
  <c r="P38" i="24"/>
  <c r="T38" i="24" s="1"/>
  <c r="T37" i="24"/>
  <c r="P16" i="24"/>
  <c r="N114" i="24"/>
  <c r="N17" i="24"/>
  <c r="P113" i="24"/>
  <c r="N57" i="24"/>
  <c r="P57" i="24" s="1"/>
  <c r="L44" i="27"/>
  <c r="M31" i="27"/>
  <c r="L24" i="27"/>
  <c r="M11" i="27"/>
  <c r="N93" i="24" l="1"/>
  <c r="P92" i="24"/>
  <c r="N40" i="24"/>
  <c r="P39" i="24"/>
  <c r="T39" i="24" s="1"/>
  <c r="M44" i="27"/>
  <c r="N99" i="2"/>
  <c r="T16" i="24"/>
  <c r="N115" i="24"/>
  <c r="P17" i="24"/>
  <c r="T17" i="24" s="1"/>
  <c r="N18" i="24"/>
  <c r="P114" i="24"/>
  <c r="N58" i="24"/>
  <c r="P58" i="24" s="1"/>
  <c r="M24" i="27"/>
  <c r="N7" i="2"/>
  <c r="L89" i="27"/>
  <c r="N94" i="24" l="1"/>
  <c r="P93" i="24"/>
  <c r="N41" i="24"/>
  <c r="P40" i="24"/>
  <c r="T40" i="24" s="1"/>
  <c r="N112" i="2"/>
  <c r="P99" i="2"/>
  <c r="P112" i="2" s="1"/>
  <c r="P18" i="24"/>
  <c r="T18" i="24" s="1"/>
  <c r="N116" i="24"/>
  <c r="N19" i="24"/>
  <c r="P115" i="24"/>
  <c r="N59" i="24"/>
  <c r="P59" i="24" s="1"/>
  <c r="N20" i="2"/>
  <c r="P7" i="2"/>
  <c r="L90" i="27"/>
  <c r="M89" i="27"/>
  <c r="M90" i="27" s="1"/>
  <c r="D31" i="14" l="1"/>
  <c r="P94" i="24"/>
  <c r="P95" i="24" s="1"/>
  <c r="P99" i="24" s="1"/>
  <c r="H133" i="1" s="1"/>
  <c r="N95" i="24"/>
  <c r="N60" i="24"/>
  <c r="P60" i="24" s="1"/>
  <c r="P41" i="24"/>
  <c r="T41" i="24" s="1"/>
  <c r="N42" i="24"/>
  <c r="R32" i="24"/>
  <c r="P183" i="2"/>
  <c r="H21" i="1" s="1"/>
  <c r="N20" i="24"/>
  <c r="P19" i="24"/>
  <c r="T19" i="24" s="1"/>
  <c r="N117" i="24"/>
  <c r="P116" i="24"/>
  <c r="R11" i="24"/>
  <c r="T11" i="24" s="1"/>
  <c r="P20" i="2"/>
  <c r="P91" i="2" s="1"/>
  <c r="H137" i="1" l="1"/>
  <c r="H47" i="1"/>
  <c r="P42" i="24"/>
  <c r="T42" i="24" s="1"/>
  <c r="N43" i="24"/>
  <c r="R45" i="24"/>
  <c r="T32" i="24"/>
  <c r="P117" i="24"/>
  <c r="N61" i="24"/>
  <c r="P61" i="24" s="1"/>
  <c r="N21" i="24"/>
  <c r="N118" i="24"/>
  <c r="P20" i="24"/>
  <c r="T20" i="24" s="1"/>
  <c r="H33" i="1"/>
  <c r="R24" i="24"/>
  <c r="H20" i="1"/>
  <c r="H34" i="1" l="1"/>
  <c r="H48" i="1"/>
  <c r="P43" i="24"/>
  <c r="T43" i="24" s="1"/>
  <c r="N44" i="24"/>
  <c r="P118" i="24"/>
  <c r="N62" i="24"/>
  <c r="P62" i="24" s="1"/>
  <c r="N119" i="24"/>
  <c r="P21" i="24"/>
  <c r="T21" i="24" s="1"/>
  <c r="N22" i="24"/>
  <c r="H22" i="1"/>
  <c r="P44" i="24" l="1"/>
  <c r="N45" i="24"/>
  <c r="P119" i="24"/>
  <c r="N63" i="24"/>
  <c r="P63" i="24" s="1"/>
  <c r="N120" i="24"/>
  <c r="P22" i="24"/>
  <c r="T22" i="24" s="1"/>
  <c r="N23" i="24"/>
  <c r="T44" i="24" l="1"/>
  <c r="T45" i="24" s="1"/>
  <c r="P45" i="24"/>
  <c r="P23" i="24"/>
  <c r="N121" i="24"/>
  <c r="N24" i="24"/>
  <c r="P120" i="24"/>
  <c r="N64" i="24"/>
  <c r="P64" i="24" s="1"/>
  <c r="H62" i="1" l="1"/>
  <c r="P121" i="24"/>
  <c r="P123" i="24" s="1"/>
  <c r="N123" i="24"/>
  <c r="N65" i="24"/>
  <c r="T23" i="24"/>
  <c r="P24" i="24"/>
  <c r="T24" i="24" l="1"/>
  <c r="H61" i="1" s="1"/>
  <c r="N67" i="24"/>
  <c r="P65" i="24"/>
  <c r="P67" i="24" l="1"/>
  <c r="P71" i="24" s="1"/>
  <c r="P73" i="24"/>
  <c r="P74" i="24" l="1"/>
  <c r="H63" i="1" s="1"/>
  <c r="H67" i="1" l="1"/>
  <c r="F18" i="3" l="1"/>
  <c r="H18" i="3" s="1"/>
  <c r="G19" i="25" l="1"/>
  <c r="G20" i="25"/>
  <c r="G21" i="25"/>
  <c r="G22" i="25"/>
  <c r="G23" i="25"/>
  <c r="G24" i="25"/>
  <c r="C28" i="25" l="1"/>
  <c r="G18" i="25"/>
  <c r="G25" i="25" s="1"/>
  <c r="C29" i="25" l="1"/>
  <c r="C31" i="25" s="1"/>
  <c r="D5" i="25"/>
  <c r="B5" i="25" s="1"/>
  <c r="B9" i="25" l="1"/>
  <c r="D10" i="20" s="1"/>
  <c r="F10" i="20" s="1"/>
  <c r="F26" i="20" s="1"/>
  <c r="H31" i="20" s="1"/>
  <c r="F41" i="15"/>
  <c r="E35" i="15"/>
  <c r="H192" i="1"/>
  <c r="G10" i="20" l="1"/>
  <c r="G26" i="20" s="1"/>
  <c r="H181" i="1"/>
  <c r="D30" i="15"/>
  <c r="H182" i="1"/>
  <c r="D51" i="15"/>
  <c r="D41" i="15"/>
  <c r="E10" i="15"/>
  <c r="F30" i="15"/>
  <c r="H175" i="1" s="1"/>
  <c r="H205" i="1"/>
  <c r="H33" i="20" l="1"/>
  <c r="L33" i="20" s="1"/>
  <c r="E46" i="29" s="1"/>
  <c r="H34" i="20"/>
  <c r="L34" i="20" s="1"/>
  <c r="E47" i="29" s="1"/>
  <c r="H32" i="20"/>
  <c r="L32" i="20" s="1"/>
  <c r="E45" i="29" s="1"/>
  <c r="H191" i="1"/>
  <c r="H193" i="1"/>
  <c r="H183" i="1"/>
  <c r="H204" i="1"/>
  <c r="L31" i="20" l="1"/>
  <c r="E44" i="29" s="1"/>
  <c r="E48" i="29" s="1"/>
  <c r="H35" i="20"/>
  <c r="L35" i="20" s="1"/>
  <c r="H194" i="1"/>
  <c r="H142" i="1" l="1"/>
  <c r="D55" i="14"/>
  <c r="G55" i="14" s="1"/>
  <c r="D23" i="12" l="1"/>
  <c r="H118" i="1"/>
  <c r="D131" i="12"/>
  <c r="D36" i="12"/>
  <c r="D40" i="12" s="1"/>
  <c r="D62" i="12"/>
  <c r="D64" i="12" s="1"/>
  <c r="H114" i="1" s="1"/>
  <c r="H141" i="1"/>
  <c r="H143" i="1" l="1"/>
  <c r="D129" i="12"/>
  <c r="D132" i="12" s="1"/>
  <c r="H115" i="1"/>
  <c r="D38" i="12"/>
  <c r="F10" i="3" l="1"/>
  <c r="H10" i="3" s="1"/>
  <c r="F50" i="27" l="1"/>
  <c r="K50" i="27"/>
  <c r="K52" i="27" s="1"/>
  <c r="J50" i="27"/>
  <c r="J52" i="27" s="1"/>
  <c r="H50" i="27"/>
  <c r="H52" i="27" s="1"/>
  <c r="I50" i="27"/>
  <c r="I52" i="27" s="1"/>
  <c r="L50" i="27"/>
  <c r="L52" i="27" s="1"/>
  <c r="F33" i="3"/>
  <c r="H33" i="3" s="1"/>
  <c r="G52" i="27"/>
  <c r="F52" i="27" l="1"/>
  <c r="M50" i="27"/>
  <c r="M52" i="27" l="1"/>
  <c r="D43" i="3"/>
  <c r="F43" i="3" l="1"/>
  <c r="H43" i="3" s="1"/>
  <c r="F37" i="3"/>
  <c r="H37" i="3" s="1"/>
  <c r="F35" i="3" l="1"/>
  <c r="F41" i="3"/>
  <c r="H41" i="3" s="1"/>
  <c r="F11" i="3"/>
  <c r="F36" i="3"/>
  <c r="F53" i="3"/>
  <c r="F9" i="3"/>
  <c r="G9" i="3" s="1"/>
  <c r="D19" i="3"/>
  <c r="F19" i="3" s="1"/>
  <c r="F17" i="3"/>
  <c r="F54" i="3"/>
  <c r="H54" i="3" s="1"/>
  <c r="F21" i="3"/>
  <c r="H21" i="3" s="1"/>
  <c r="D29" i="3"/>
  <c r="F29" i="3" s="1"/>
  <c r="F27" i="3"/>
  <c r="H27" i="3" s="1"/>
  <c r="H29" i="3" s="1"/>
  <c r="F56" i="3"/>
  <c r="H56" i="3" s="1"/>
  <c r="F13" i="3"/>
  <c r="F14" i="3"/>
  <c r="H14" i="3" s="1"/>
  <c r="F55" i="3"/>
  <c r="G55" i="3" s="1"/>
  <c r="F8" i="3"/>
  <c r="F34" i="3"/>
  <c r="F57" i="3"/>
  <c r="H57" i="3" s="1"/>
  <c r="D39" i="3" l="1"/>
  <c r="F39" i="3" s="1"/>
  <c r="F45" i="3" s="1"/>
  <c r="D15" i="3"/>
  <c r="D59" i="3"/>
  <c r="F15" i="3" l="1"/>
  <c r="D23" i="3"/>
  <c r="F23" i="3" s="1"/>
  <c r="D45" i="3"/>
  <c r="F59" i="3"/>
  <c r="D61" i="3" l="1"/>
  <c r="F61" i="3"/>
  <c r="H82" i="27" l="1"/>
  <c r="K82" i="27" l="1"/>
  <c r="M80" i="27" l="1"/>
  <c r="I82" i="27" l="1"/>
  <c r="M79" i="27"/>
  <c r="F82" i="27" l="1"/>
  <c r="M81" i="27" l="1"/>
  <c r="F10" i="4" l="1"/>
  <c r="H11" i="1" s="1"/>
  <c r="H17" i="1" s="1"/>
  <c r="H120" i="1" l="1"/>
  <c r="E72" i="10"/>
  <c r="H92" i="1"/>
  <c r="H93" i="1" s="1"/>
  <c r="H8" i="3" s="1"/>
  <c r="H51" i="1"/>
  <c r="H52" i="1" s="1"/>
  <c r="H54" i="1" s="1"/>
  <c r="H56" i="1" s="1"/>
  <c r="H38" i="1"/>
  <c r="H39" i="1" s="1"/>
  <c r="H41" i="1" s="1"/>
  <c r="H43" i="1" s="1"/>
  <c r="D16" i="14"/>
  <c r="H144" i="1"/>
  <c r="H145" i="1" s="1"/>
  <c r="H147" i="1" s="1"/>
  <c r="H267" i="1" s="1"/>
  <c r="G82" i="27"/>
  <c r="M78" i="27"/>
  <c r="M82" i="27" s="1"/>
  <c r="H24" i="1" l="1"/>
  <c r="H25" i="1" s="1"/>
  <c r="D24" i="14" s="1"/>
  <c r="H58" i="1"/>
  <c r="G8" i="3"/>
  <c r="E97" i="10"/>
  <c r="E99" i="10" s="1"/>
  <c r="E74" i="10"/>
  <c r="H107" i="1"/>
  <c r="H108" i="1" s="1"/>
  <c r="D133" i="12" s="1"/>
  <c r="D134" i="12" s="1"/>
  <c r="H116" i="1" s="1"/>
  <c r="H119" i="1" s="1"/>
  <c r="H121" i="1" s="1"/>
  <c r="E56" i="14"/>
  <c r="E58" i="14" s="1"/>
  <c r="D17" i="14"/>
  <c r="D19" i="14" l="1"/>
  <c r="D21" i="14" s="1"/>
  <c r="H152" i="1" s="1"/>
  <c r="E108" i="10"/>
  <c r="E110" i="10" s="1"/>
  <c r="H95" i="1" s="1"/>
  <c r="H27" i="1"/>
  <c r="H28" i="1" s="1"/>
  <c r="H69" i="1"/>
  <c r="D25" i="14"/>
  <c r="F57" i="14"/>
  <c r="F58" i="14" s="1"/>
  <c r="D27" i="14" s="1"/>
  <c r="D29" i="14" s="1"/>
  <c r="D33" i="14" s="1"/>
  <c r="H153" i="1" s="1"/>
  <c r="H156" i="1" l="1"/>
  <c r="H268" i="1" s="1"/>
  <c r="D58" i="14"/>
  <c r="G36" i="3"/>
  <c r="H36" i="3" s="1"/>
  <c r="G13" i="3"/>
  <c r="H13" i="3" s="1"/>
  <c r="G17" i="3"/>
  <c r="H17" i="3" s="1"/>
  <c r="G53" i="3"/>
  <c r="H53" i="3" s="1"/>
  <c r="H59" i="3" s="1"/>
  <c r="G34" i="3"/>
  <c r="H34" i="3" s="1"/>
  <c r="H39" i="3" s="1"/>
  <c r="H45" i="3" s="1"/>
  <c r="G35" i="3"/>
  <c r="H35" i="3" s="1"/>
  <c r="H124" i="1"/>
  <c r="H125" i="1" s="1"/>
  <c r="H127" i="1" s="1"/>
  <c r="H266" i="1" s="1"/>
  <c r="G11" i="3"/>
  <c r="H11" i="3" s="1"/>
  <c r="H23" i="3" s="1"/>
  <c r="H61" i="3" s="1"/>
  <c r="H65" i="3" l="1"/>
  <c r="H74" i="1" s="1"/>
  <c r="H97" i="1" s="1"/>
  <c r="H99" i="1" s="1"/>
  <c r="H260" i="1" l="1"/>
  <c r="H271" i="1" s="1"/>
  <c r="H264" i="1"/>
  <c r="H167" i="1"/>
  <c r="H169" i="1" l="1"/>
  <c r="H172" i="1"/>
  <c r="H174" i="1" s="1"/>
  <c r="H176" i="1" l="1"/>
  <c r="H203" i="1"/>
  <c r="H200" i="1"/>
  <c r="H178" i="1"/>
  <c r="H186" i="1" s="1"/>
  <c r="H188" i="1" s="1"/>
  <c r="H196" i="1" s="1"/>
  <c r="H206" i="1" s="1"/>
  <c r="H207" i="1" l="1"/>
  <c r="H209" i="1" s="1"/>
  <c r="H212" i="1" s="1"/>
  <c r="H215" i="1" s="1"/>
  <c r="H217" i="1" s="1"/>
  <c r="H219" i="1" l="1"/>
  <c r="H270" i="1"/>
  <c r="H273" i="1" s="1"/>
  <c r="H275" i="1" s="1"/>
  <c r="H289" i="1" s="1"/>
  <c r="H291" i="1" s="1"/>
  <c r="E7" i="29" l="1"/>
  <c r="C8" i="38"/>
  <c r="E11" i="29" l="1"/>
  <c r="E25" i="29" s="1"/>
  <c r="E38" i="29" s="1"/>
  <c r="E73" i="29" s="1"/>
  <c r="E75" i="29" s="1"/>
  <c r="E9" i="29"/>
  <c r="E10" i="29"/>
  <c r="E12" i="29"/>
  <c r="E26" i="29" s="1"/>
  <c r="E39" i="29" s="1"/>
  <c r="E76" i="29" s="1"/>
  <c r="E22" i="29"/>
  <c r="E37" i="29" s="1"/>
  <c r="E13" i="29" l="1"/>
  <c r="E77" i="29"/>
  <c r="E84" i="29" s="1"/>
  <c r="E111" i="29" l="1"/>
  <c r="E112" i="29" s="1"/>
  <c r="E113" i="29" s="1"/>
  <c r="E115" i="29" s="1"/>
  <c r="E82" i="29"/>
  <c r="C12" i="38"/>
  <c r="E86" i="29" l="1"/>
  <c r="C11" i="38"/>
  <c r="E88" i="29" l="1"/>
  <c r="C13" i="38"/>
  <c r="C14" i="38" l="1"/>
  <c r="E90" i="29"/>
  <c r="C15" i="38" s="1"/>
</calcChain>
</file>

<file path=xl/sharedStrings.xml><?xml version="1.0" encoding="utf-8"?>
<sst xmlns="http://schemas.openxmlformats.org/spreadsheetml/2006/main" count="5443" uniqueCount="2014">
  <si>
    <t>Public Service Company of New Mexico</t>
  </si>
  <si>
    <t>Plant In Service</t>
  </si>
  <si>
    <t>Transmission Plant In Service</t>
  </si>
  <si>
    <t>Total Transmission Plant in Service</t>
  </si>
  <si>
    <t>Line Item Description</t>
  </si>
  <si>
    <t>Notes</t>
  </si>
  <si>
    <t>Note - Shaded Cells Require Input</t>
  </si>
  <si>
    <t>Plant Calculations</t>
  </si>
  <si>
    <t>Schedule 1 - Plant Calculations</t>
  </si>
  <si>
    <t>Schedule 1</t>
  </si>
  <si>
    <t>Month</t>
  </si>
  <si>
    <t>Source</t>
  </si>
  <si>
    <t>Balance</t>
  </si>
  <si>
    <t>December</t>
  </si>
  <si>
    <t>January</t>
  </si>
  <si>
    <t>February</t>
  </si>
  <si>
    <t>March</t>
  </si>
  <si>
    <t>April</t>
  </si>
  <si>
    <t>May</t>
  </si>
  <si>
    <t>June</t>
  </si>
  <si>
    <t>July</t>
  </si>
  <si>
    <t>August</t>
  </si>
  <si>
    <t>September</t>
  </si>
  <si>
    <t>October</t>
  </si>
  <si>
    <t>November</t>
  </si>
  <si>
    <t>page 207, line 58, column g</t>
  </si>
  <si>
    <t>page 206, line 58, column b</t>
  </si>
  <si>
    <t>company records</t>
  </si>
  <si>
    <t>Average Transmission Plant In Service</t>
  </si>
  <si>
    <t xml:space="preserve">General and Intangible Plant in Service </t>
  </si>
  <si>
    <t>Distribution Plant In Service</t>
  </si>
  <si>
    <t>page 206, line 75, column b</t>
  </si>
  <si>
    <t>page 207, line 75, column g</t>
  </si>
  <si>
    <t>Intangible Plant In Service</t>
  </si>
  <si>
    <t>Average Distribution Plant In Service</t>
  </si>
  <si>
    <t>Average Intangible Plant In Service</t>
  </si>
  <si>
    <t>page 204, line 5, column b</t>
  </si>
  <si>
    <t>page 205, line 5, column g</t>
  </si>
  <si>
    <t>General Plant In Service</t>
  </si>
  <si>
    <t>Average General Plant In Service</t>
  </si>
  <si>
    <t>Production Plant In Service</t>
  </si>
  <si>
    <t>Average Production Plant In Service</t>
  </si>
  <si>
    <t>page 204, line 46, column b</t>
  </si>
  <si>
    <t>page 205, line 46, column g</t>
  </si>
  <si>
    <t>page 206, line 99, column b</t>
  </si>
  <si>
    <t>page 207, line 99, column g</t>
  </si>
  <si>
    <t>Total Average Plant in Service</t>
  </si>
  <si>
    <t xml:space="preserve"> as of December</t>
  </si>
  <si>
    <t>Sum of averages above</t>
  </si>
  <si>
    <t>Plant In Service Calculation</t>
  </si>
  <si>
    <t xml:space="preserve">Total Average Plant In Service General and Intangible Plant in Service </t>
  </si>
  <si>
    <t>Wages and Salary Allocation Factor</t>
  </si>
  <si>
    <t>Allocators</t>
  </si>
  <si>
    <t>Total Wages Expense</t>
  </si>
  <si>
    <t>Less A&amp;G Wages Expense</t>
  </si>
  <si>
    <t>Total</t>
  </si>
  <si>
    <t>page 354, line 21, column b</t>
  </si>
  <si>
    <t>page 354, line 28, column b</t>
  </si>
  <si>
    <t>page 354, line 27, column b</t>
  </si>
  <si>
    <t>Wages and Salary Allocator</t>
  </si>
  <si>
    <t>Plant Allocation Factor</t>
  </si>
  <si>
    <t>Average Electric Plant In Service</t>
  </si>
  <si>
    <t>Net Average Electric Plant in Service</t>
  </si>
  <si>
    <t>Reference FERC Form 1 Page or Schedule</t>
  </si>
  <si>
    <t>General and Intangible Plant Allocated to Transmission</t>
  </si>
  <si>
    <t>(Line 8)</t>
  </si>
  <si>
    <t>Total Transmission Plant In Service</t>
  </si>
  <si>
    <t>Transmission Gross Plant</t>
  </si>
  <si>
    <t>Gross Plant Allocation Factor</t>
  </si>
  <si>
    <t>Transmission Net Plant</t>
  </si>
  <si>
    <t>Net Plant Allocation Factor</t>
  </si>
  <si>
    <t>Accumulated Depreciation Calculation</t>
  </si>
  <si>
    <t>Prior year, page 219, line 25, column b</t>
  </si>
  <si>
    <t>page 219, line 25, column b</t>
  </si>
  <si>
    <t>Prior year, page 219, line 26, column b</t>
  </si>
  <si>
    <t>page 219, line 26, column b</t>
  </si>
  <si>
    <t>Transmission Accumulated Depreciation</t>
  </si>
  <si>
    <t>Average Transmission Accumulated Depreciation</t>
  </si>
  <si>
    <t>Distribution Accumulated Depreciation</t>
  </si>
  <si>
    <t>Average Distribution Accumulated Depreciation</t>
  </si>
  <si>
    <t>Intangible Accumulated Depreciation</t>
  </si>
  <si>
    <t>Average Intangible Accumulated Depreciation</t>
  </si>
  <si>
    <t>General Accumulated Depreciation</t>
  </si>
  <si>
    <t>Average General Accumulated Depreciation</t>
  </si>
  <si>
    <t>Production Accumulated Depreciation</t>
  </si>
  <si>
    <t>Average Production Accumulated Depreciation</t>
  </si>
  <si>
    <t>Total Average Accumulated Depreciation</t>
  </si>
  <si>
    <t xml:space="preserve">Total Average Accumulated Depreciation General and Intangible Accumulated Depreciation </t>
  </si>
  <si>
    <t>Prior year, page 200, line 21, column b</t>
  </si>
  <si>
    <t>page 200, line 21, column b</t>
  </si>
  <si>
    <t>Prior Year, page 219, line 20 thru line 24, column b</t>
  </si>
  <si>
    <t>page 219, line 20 thru line 24, column b</t>
  </si>
  <si>
    <t>Prior Year, page 219, line 28, column b</t>
  </si>
  <si>
    <t>page 219, line 28, column b</t>
  </si>
  <si>
    <t>Accumulated Depreciation</t>
  </si>
  <si>
    <t>Total Transmission Accumulated Depreciation</t>
  </si>
  <si>
    <t>General and Intangible Accumulated Depreciation Allocated to Transmission</t>
  </si>
  <si>
    <t>Total Transmission Net Plant In Service</t>
  </si>
  <si>
    <t>Line No</t>
  </si>
  <si>
    <t>Other Rate Base Items</t>
  </si>
  <si>
    <t>Accumulated Deferred Income Taxes</t>
  </si>
  <si>
    <t>Schedule 2</t>
  </si>
  <si>
    <t>Schedule 2 - Accumulated Deferred Income Taxes</t>
  </si>
  <si>
    <t>Balance at Beginning Of Year</t>
  </si>
  <si>
    <t>Balance at End of Year</t>
  </si>
  <si>
    <t>Description</t>
  </si>
  <si>
    <t>Note 1</t>
  </si>
  <si>
    <t>Regulatory Assets</t>
  </si>
  <si>
    <t>Schedule 4</t>
  </si>
  <si>
    <t>Schedule 4 Regulatory Assets</t>
  </si>
  <si>
    <t>Transmission Related Regulatory Assets</t>
  </si>
  <si>
    <t>Total Transmission Related Regulatory Assets</t>
  </si>
  <si>
    <t>Non-Transmission Related Regulatory Assets</t>
  </si>
  <si>
    <t>Total Non-Transmission Related Regulatory Assets</t>
  </si>
  <si>
    <t>Total Regulatory Assets</t>
  </si>
  <si>
    <t>Average Balance Transmission Related Regulatory Assets</t>
  </si>
  <si>
    <t>Electric - Income taxes</t>
  </si>
  <si>
    <t>PCB Refinancing Hedge</t>
  </si>
  <si>
    <t>Renewable Energy Costs</t>
  </si>
  <si>
    <t>Pension</t>
  </si>
  <si>
    <t>Page 111, line 72, column d</t>
  </si>
  <si>
    <t>Miscellaneous Deferred Debits</t>
  </si>
  <si>
    <t>Schedule 5</t>
  </si>
  <si>
    <t>Non-Transmission Related Deferred Debits</t>
  </si>
  <si>
    <t>Total Transmission Related Deferred Debits</t>
  </si>
  <si>
    <t>Total Non-Transmission Related Deferred Debits</t>
  </si>
  <si>
    <t>Total Deferred Debits</t>
  </si>
  <si>
    <t>Transmission Related Deferred Debits</t>
  </si>
  <si>
    <t>Average Balance Transmission Related Deferred Debits</t>
  </si>
  <si>
    <t>Rights of Way Renewals</t>
  </si>
  <si>
    <t>Distribution Rights of way Renewals</t>
  </si>
  <si>
    <t>Afton CSA Maintenance</t>
  </si>
  <si>
    <t>Goodwill</t>
  </si>
  <si>
    <t>Deferred Regulatory Commission Expenses</t>
  </si>
  <si>
    <t>Page 111, line 78, column c</t>
  </si>
  <si>
    <t>Page 233, line 3, column b</t>
  </si>
  <si>
    <t>Page 233, line 4, column b</t>
  </si>
  <si>
    <t>Schedule 7</t>
  </si>
  <si>
    <t>page 112, line 28, column c</t>
  </si>
  <si>
    <t>Wages and Salaries Allocator</t>
  </si>
  <si>
    <t>Total Injuries and Damages Reserve</t>
  </si>
  <si>
    <t>Injuries and Damages Reserve (Enter as a negative)</t>
  </si>
  <si>
    <t>Other Deferred Credits</t>
  </si>
  <si>
    <t>Total Transmission Related Other Deferred Credits</t>
  </si>
  <si>
    <t>Non-Transmission Related Other Deferred Credits</t>
  </si>
  <si>
    <t>Total Non-Transmission Related Other Deferred Credits</t>
  </si>
  <si>
    <t>Total Other Deferred Credits</t>
  </si>
  <si>
    <t>Gain on Sale of EIP Transmission Line</t>
  </si>
  <si>
    <t>Page 269, line 5, column b</t>
  </si>
  <si>
    <t>Transmission Related Other Deferred Credits</t>
  </si>
  <si>
    <t>Legal Liabilities</t>
  </si>
  <si>
    <t>Environmental Reserves</t>
  </si>
  <si>
    <t>Right of Way Reserve</t>
  </si>
  <si>
    <t>Coal Mine Decommissioning</t>
  </si>
  <si>
    <t>Dry Cask - Spent Nuclear Fuel Storage</t>
  </si>
  <si>
    <t>Transmission Studies</t>
  </si>
  <si>
    <t>Page 269, line 1, column b</t>
  </si>
  <si>
    <t>Other</t>
  </si>
  <si>
    <t>Page 269, line 2, column b</t>
  </si>
  <si>
    <t>Page 269, line 6, column b</t>
  </si>
  <si>
    <t>Page 113, line 59, column d</t>
  </si>
  <si>
    <t>Page 111, line 78, column d</t>
  </si>
  <si>
    <t>Page 113, line 59, column c</t>
  </si>
  <si>
    <t>Page 269, line 5, column f</t>
  </si>
  <si>
    <t>Page 269, line 1, column f</t>
  </si>
  <si>
    <t>Page 269, line 2, column f</t>
  </si>
  <si>
    <t>Page 269, line 6, column f</t>
  </si>
  <si>
    <t>Materials and Supplies</t>
  </si>
  <si>
    <t>Working Capital</t>
  </si>
  <si>
    <t>Prepayments</t>
  </si>
  <si>
    <t>Total Working Capital</t>
  </si>
  <si>
    <t>Schedule 8</t>
  </si>
  <si>
    <t>Schedule 8- Other Deferred Credits</t>
  </si>
  <si>
    <t>Transmission Related Materials and Supplies</t>
  </si>
  <si>
    <t>Total Transmission Related Materials and Supplies</t>
  </si>
  <si>
    <t>Non-Transmission Related Materials and Supplies</t>
  </si>
  <si>
    <t>Total Non-Transmission Related Materials and Supplies</t>
  </si>
  <si>
    <t>Total Materials and Supplies</t>
  </si>
  <si>
    <t>Average Balance Transmission Related Materials and Supplies</t>
  </si>
  <si>
    <t>Schedule 7 - Working Capital</t>
  </si>
  <si>
    <t>Transmission M&amp;S</t>
  </si>
  <si>
    <t xml:space="preserve">Production </t>
  </si>
  <si>
    <t>Page 227, line 8, column b</t>
  </si>
  <si>
    <t>Page 227, line 7, column b</t>
  </si>
  <si>
    <t>Page 227, line 5 + 9 + 11, column b</t>
  </si>
  <si>
    <t>Page 110, line 48, column d</t>
  </si>
  <si>
    <t>Page 110, line 48, column c</t>
  </si>
  <si>
    <t>Page 227, line 8, column c</t>
  </si>
  <si>
    <t>Page 227, line 7, column c</t>
  </si>
  <si>
    <t>Page 227, line 5 + 9 + 11, column c</t>
  </si>
  <si>
    <t>Transmission Related Prepayments</t>
  </si>
  <si>
    <t>Total Transmission Related Prepayments</t>
  </si>
  <si>
    <t>Non-Transmission Related Prepayments</t>
  </si>
  <si>
    <t>Total Non-Transmission Related Prepayments</t>
  </si>
  <si>
    <t>Total Prepayments</t>
  </si>
  <si>
    <t>Average Balance Transmission Related Prepayments</t>
  </si>
  <si>
    <t>Transmission Prepayments</t>
  </si>
  <si>
    <t>Page 111, line 57, column d</t>
  </si>
  <si>
    <t>Page 111, line 57, column c</t>
  </si>
  <si>
    <t>Total Other Rate Base Items</t>
  </si>
  <si>
    <t>Total Transmission Rate Base</t>
  </si>
  <si>
    <t>Transmission O&amp;M</t>
  </si>
  <si>
    <t>page 321, line 112, column b</t>
  </si>
  <si>
    <t>Page 321, line 96, column b</t>
  </si>
  <si>
    <t>Administrative and General Expenses</t>
  </si>
  <si>
    <t>Total Administrative and General Expenses</t>
  </si>
  <si>
    <t>page 323, line 197, column b</t>
  </si>
  <si>
    <t>Less FERC 924 - Property Insurance</t>
  </si>
  <si>
    <t>page 323, line 185, column b</t>
  </si>
  <si>
    <t>Less FERC 928 - Regulatory commission Expenses</t>
  </si>
  <si>
    <t>page 323, line 189, column b</t>
  </si>
  <si>
    <t>Schedule 9</t>
  </si>
  <si>
    <t>page 323, line 183, column b</t>
  </si>
  <si>
    <t>Current Year Expense</t>
  </si>
  <si>
    <t>FERC 922 - Administrative Expenses Transferred Credit</t>
  </si>
  <si>
    <t>Total FERC 922 - Administrative Expenses Transferred Credit</t>
  </si>
  <si>
    <t>Details of FERC 922 - Administrative Expenses Transferred Credit</t>
  </si>
  <si>
    <t>Details of FERC 928 - Regulatory Commission Expense</t>
  </si>
  <si>
    <t>Costs Direct Assigned to FERC Transmission</t>
  </si>
  <si>
    <t>Costs Direct Assigned to Other Jurisdictions</t>
  </si>
  <si>
    <t>Common Costs for Regulatory Commission Expense</t>
  </si>
  <si>
    <t>NM Retail - Energy Efficiency Program Costs</t>
  </si>
  <si>
    <t>NM Retail - Amortization of Rate Case Expenses</t>
  </si>
  <si>
    <t>FERC Wholesale Generation - Amortization of Rate Case Expenses</t>
  </si>
  <si>
    <t>Production - Related costs</t>
  </si>
  <si>
    <t>FERC Annual Fee</t>
  </si>
  <si>
    <t>Total Common costs for Regulatory Commission Expense</t>
  </si>
  <si>
    <t>Total Costs Direct Assigned to Other Jurisdictions</t>
  </si>
  <si>
    <t>Total FERC 928 - Regulatory Commission Expense</t>
  </si>
  <si>
    <t>RTO Transmission Costs</t>
  </si>
  <si>
    <t>Add FERC 928 - Regulatory Commission Expenses, Common</t>
  </si>
  <si>
    <t>Add FERC 922 - Admin Exp Transferred - Credit, excluding Corp. Allocation</t>
  </si>
  <si>
    <t>FERC 924 - Property Insurance</t>
  </si>
  <si>
    <t>Net Plant Allocator</t>
  </si>
  <si>
    <t>Property Insurance Allocated to Transmission</t>
  </si>
  <si>
    <t>Total Transmission Operations and Maintenance Expense</t>
  </si>
  <si>
    <t>Less Account 565</t>
  </si>
  <si>
    <t>Depreciation and Amortization Expense</t>
  </si>
  <si>
    <t>Transmission Depreciation Expense</t>
  </si>
  <si>
    <t>page 336, line 7, column f</t>
  </si>
  <si>
    <t>Total Transmission Depreciation Expense</t>
  </si>
  <si>
    <t>General Depreciation</t>
  </si>
  <si>
    <t>Intangible Amortization</t>
  </si>
  <si>
    <t>page 336, line 10, column f</t>
  </si>
  <si>
    <t>page 336, line 1, column f</t>
  </si>
  <si>
    <t>Total General and Intangible Depreciation and Amortization</t>
  </si>
  <si>
    <t>General and Intangible Depreciation and Amortization Allocated to Transmission</t>
  </si>
  <si>
    <t>Total Depreciation and Amortization</t>
  </si>
  <si>
    <t>Taxes Other than Income</t>
  </si>
  <si>
    <t>Schedule 10 - Taxes other than income</t>
  </si>
  <si>
    <t>Details of FERC 408.1 - Taxes other than income</t>
  </si>
  <si>
    <t>Payroll Related Costs</t>
  </si>
  <si>
    <t>FICA</t>
  </si>
  <si>
    <t>FUTA</t>
  </si>
  <si>
    <t>SUTA</t>
  </si>
  <si>
    <t>Gross Plant Allocator</t>
  </si>
  <si>
    <t>Property Related Costs</t>
  </si>
  <si>
    <t>Property Tax Costs Allocated to Transmission</t>
  </si>
  <si>
    <t>Total Payroll related costs</t>
  </si>
  <si>
    <t>Payroll Tax costs Allocated to Transmission</t>
  </si>
  <si>
    <t>Other Tax items</t>
  </si>
  <si>
    <t>Excise</t>
  </si>
  <si>
    <t>NM S&amp;I Fees</t>
  </si>
  <si>
    <t>Gross Receipts Tax</t>
  </si>
  <si>
    <t>State Highway use</t>
  </si>
  <si>
    <t>Misc</t>
  </si>
  <si>
    <t>Local franchise</t>
  </si>
  <si>
    <t>Native American</t>
  </si>
  <si>
    <t>Total Taxes other than income</t>
  </si>
  <si>
    <t>page 114, line 14, column c</t>
  </si>
  <si>
    <t>Taxes other than income</t>
  </si>
  <si>
    <t>Schedule 10</t>
  </si>
  <si>
    <t>Property Taxes Allocated to Transmission</t>
  </si>
  <si>
    <t>Payroll Taxes Allocated to Transmission</t>
  </si>
  <si>
    <t>Total Operating Expenses</t>
  </si>
  <si>
    <t>General Depreciation  - Corporate Allocation</t>
  </si>
  <si>
    <t>Intangible Amortization - Corporate Allocation</t>
  </si>
  <si>
    <t>FERC Account 190</t>
  </si>
  <si>
    <t>FERC Account 281</t>
  </si>
  <si>
    <t>FERC Account 282</t>
  </si>
  <si>
    <t>FERC Account 283</t>
  </si>
  <si>
    <t>Average</t>
  </si>
  <si>
    <t>Transmission Allocator</t>
  </si>
  <si>
    <t>Transmission Balance</t>
  </si>
  <si>
    <t>Pages 272 &amp; 273, Line 8, Columns (b) &amp;(k)</t>
  </si>
  <si>
    <t>Page 234, Line 8, Columns (b) &amp; (c)</t>
  </si>
  <si>
    <t>Pages 274 &amp; 275, Line 9, Columns (b) &amp;(k)</t>
  </si>
  <si>
    <t>Total Accumulated Deferred Income Taxes</t>
  </si>
  <si>
    <t>Injuries &amp; Damages</t>
  </si>
  <si>
    <t>Prepaid Pension</t>
  </si>
  <si>
    <t>Non-Transmission related accounts</t>
  </si>
  <si>
    <t>Allocated on Net Plant</t>
  </si>
  <si>
    <t>FERC Customer Depreciation</t>
  </si>
  <si>
    <t>Liberalized Depreciation - Transmission</t>
  </si>
  <si>
    <t>Liberalized Depreciation - General &amp; Intangible</t>
  </si>
  <si>
    <t>Repair Allowance on pre-1981 assets</t>
  </si>
  <si>
    <t>Debt AFUDC</t>
  </si>
  <si>
    <t>Interest Capitalized for Tax Purposes</t>
  </si>
  <si>
    <t>Interest Capitalized for Book Purposes</t>
  </si>
  <si>
    <t>Prepaid Expenses</t>
  </si>
  <si>
    <t>Calculated on amount included in rate base</t>
  </si>
  <si>
    <t>Allocated on Prepayments</t>
  </si>
  <si>
    <t>Income Taxes</t>
  </si>
  <si>
    <t>Return on Rate Base</t>
  </si>
  <si>
    <t>Weighted cost of Capital</t>
  </si>
  <si>
    <t>Allowed Return on Rate Base</t>
  </si>
  <si>
    <t>Long Term Debt Cost of Capital</t>
  </si>
  <si>
    <t>Four Corners SO2 Flow-though Reversal</t>
  </si>
  <si>
    <t>San Juan ACRS Flow-through Reversal</t>
  </si>
  <si>
    <t>SL/GL Depreciation Flow-through Reversal</t>
  </si>
  <si>
    <t>ACRS Flow-through Reversal</t>
  </si>
  <si>
    <t xml:space="preserve">Non-Deductible Meals </t>
  </si>
  <si>
    <t>Palo Verde 1 &amp; 2 Gain Amortization</t>
  </si>
  <si>
    <t>AFUDC Equity</t>
  </si>
  <si>
    <t>Amortization of EIP Prepaid Tax</t>
  </si>
  <si>
    <t>Total Return Adjustments</t>
  </si>
  <si>
    <t>Total Provision for Deferred Tax Adjustments</t>
  </si>
  <si>
    <t>Provision for Deferred Income Tax Adjustments</t>
  </si>
  <si>
    <t>Investment Tax Credit Amortization</t>
  </si>
  <si>
    <t>Generation Investment Tax Credit Amortization</t>
  </si>
  <si>
    <t>Other Investment Tax Credit Amortization</t>
  </si>
  <si>
    <t>Total Investment Tax Credit Amortization</t>
  </si>
  <si>
    <t>Total Federal Tax Adjustments</t>
  </si>
  <si>
    <t>Schedule 11</t>
  </si>
  <si>
    <t>Schedule 11 - Income Tax Expense</t>
  </si>
  <si>
    <t>Palo Verde Valley Transmission Investment Tax Credit Amortization</t>
  </si>
  <si>
    <t>Reference</t>
  </si>
  <si>
    <t>Total Account 190</t>
  </si>
  <si>
    <t>Total Account 281</t>
  </si>
  <si>
    <t>Total Account 282</t>
  </si>
  <si>
    <t>Total Account 283</t>
  </si>
  <si>
    <t>Page 234 detail, Line 1</t>
  </si>
  <si>
    <t>Company Records</t>
  </si>
  <si>
    <t xml:space="preserve">     (Corporate Allocation)</t>
  </si>
  <si>
    <t>Page 261, Line 2 detail</t>
  </si>
  <si>
    <t>Eastern Interconnect Project Gain Amortization</t>
  </si>
  <si>
    <t>Page 266, Line 8, Column (f)</t>
  </si>
  <si>
    <t>Net Operating Loss Carryforward per Form 1</t>
  </si>
  <si>
    <t>Net Operating Loss Carryforward to be allocated</t>
  </si>
  <si>
    <t>Not Operating Loss related to renewables</t>
  </si>
  <si>
    <t>AFUDC Reversal on Retirements</t>
  </si>
  <si>
    <t>Palo Verde Prudency Audit Amortization</t>
  </si>
  <si>
    <t>Tax Exempt Interest</t>
  </si>
  <si>
    <t>Non-Deductible Dues</t>
  </si>
  <si>
    <t>Fines &amp; Penalties</t>
  </si>
  <si>
    <t>Sec 1603 Grant Amortization</t>
  </si>
  <si>
    <t>Permanent and Flow-Through Book/Tax Adjustments</t>
  </si>
  <si>
    <t>Total Permanent and Flow-Through Book/Tax Adjustments</t>
  </si>
  <si>
    <t>Net Provision for Deferred Income Tax Adjustments</t>
  </si>
  <si>
    <t xml:space="preserve">Investment Tax Credit Amortization </t>
  </si>
  <si>
    <t>Federal Income Tax Calculation</t>
  </si>
  <si>
    <t>Federal Income Tax</t>
  </si>
  <si>
    <t xml:space="preserve">EIP Amortization </t>
  </si>
  <si>
    <t>Total Additions to Federal Income Tax</t>
  </si>
  <si>
    <t>Interest on Long Term Debt</t>
  </si>
  <si>
    <t>Net Taxable Equity Return - Federal</t>
  </si>
  <si>
    <t>Less: Return Adjustments - Federal</t>
  </si>
  <si>
    <t>Income Tax Adjustments - Federal</t>
  </si>
  <si>
    <t>Income Tax Calculation - Federal</t>
  </si>
  <si>
    <t>Additions to Income Tax - Federal</t>
  </si>
  <si>
    <t>Net Allowable Income Tax - Federal</t>
  </si>
  <si>
    <t>State Income Tax Calculation</t>
  </si>
  <si>
    <t>Less: Return Adjustments - State</t>
  </si>
  <si>
    <t>Total Return Adjustments - State</t>
  </si>
  <si>
    <t>Adjusted Equity Return - Federal</t>
  </si>
  <si>
    <t>Net Taxable Equity Return - State</t>
  </si>
  <si>
    <t>Income Tax Calculation - State</t>
  </si>
  <si>
    <t>State Tax Factor</t>
  </si>
  <si>
    <t>Net Allowable Income Tax - State</t>
  </si>
  <si>
    <t>Total Allowable Income Tax - Federal &amp; State</t>
  </si>
  <si>
    <t>Capitalization Calculations</t>
  </si>
  <si>
    <t>Long Term Interest</t>
  </si>
  <si>
    <t>Total Long Term Interest</t>
  </si>
  <si>
    <t>page 118, line 24, column c</t>
  </si>
  <si>
    <t>Common Stock</t>
  </si>
  <si>
    <t>Proprietary Capital</t>
  </si>
  <si>
    <t>page 112, line 16, column c</t>
  </si>
  <si>
    <t>Less Preferred stock</t>
  </si>
  <si>
    <t>page 112, line 3, column c</t>
  </si>
  <si>
    <t>page 112, line 15, column c</t>
  </si>
  <si>
    <t>Long Term Debt</t>
  </si>
  <si>
    <t>page 112, line 24, column c</t>
  </si>
  <si>
    <t>Total Long-Term Debt</t>
  </si>
  <si>
    <t>Capitalization</t>
  </si>
  <si>
    <t>Preferred Stock</t>
  </si>
  <si>
    <t>Total Capitalization</t>
  </si>
  <si>
    <t>Long Term Debt %</t>
  </si>
  <si>
    <t>Preferred Stock %</t>
  </si>
  <si>
    <t>Common Stock %</t>
  </si>
  <si>
    <t>Cost of Debt</t>
  </si>
  <si>
    <t>Preferred Stock Cost</t>
  </si>
  <si>
    <t>Common Stock Cost</t>
  </si>
  <si>
    <t>Weighted Cost of Debt</t>
  </si>
  <si>
    <t>Weighted Cost of Preferred Stock</t>
  </si>
  <si>
    <t>Weighted Cost of Common Stock</t>
  </si>
  <si>
    <t>Total Return</t>
  </si>
  <si>
    <t>Average Balance Injuries and Damages Reserve</t>
  </si>
  <si>
    <t>Revenue Requirement Summary</t>
  </si>
  <si>
    <t>Rate Base</t>
  </si>
  <si>
    <t>O&amp;M</t>
  </si>
  <si>
    <t>Depreciation and Amortization</t>
  </si>
  <si>
    <t>Revenue Requirement before Revenue Credits</t>
  </si>
  <si>
    <t>Revenue Credits</t>
  </si>
  <si>
    <t>ATRR for Network Transmission Customers</t>
  </si>
  <si>
    <t>Allocation to Retail Native Load</t>
  </si>
  <si>
    <t>Allocation to Network Integration Transmission Service</t>
  </si>
  <si>
    <t>Allocation to GFA</t>
  </si>
  <si>
    <t>Allocation to OATT firm PTP Service</t>
  </si>
  <si>
    <t>Add Direct Assigned 3rd Party Transmission Service</t>
  </si>
  <si>
    <t>Billing Units</t>
  </si>
  <si>
    <t>Annual</t>
  </si>
  <si>
    <t>Monthly</t>
  </si>
  <si>
    <t>Weekly</t>
  </si>
  <si>
    <t>Daily</t>
  </si>
  <si>
    <t>Hourly</t>
  </si>
  <si>
    <t>Applicable to Network and Point to Point Service</t>
  </si>
  <si>
    <t>Schedule 8 Non firm Transmission Service</t>
  </si>
  <si>
    <t>Schedule 8 Conditional Firm Transmission Service</t>
  </si>
  <si>
    <t>Account 454 Pole Rentals and Rents from Electric Property</t>
  </si>
  <si>
    <t>Total Revenue Credits Applicable to All Customers</t>
  </si>
  <si>
    <t>OATT Schedule 7</t>
  </si>
  <si>
    <t>OATT Schedule 8</t>
  </si>
  <si>
    <t>Jan</t>
  </si>
  <si>
    <t>Feb</t>
  </si>
  <si>
    <t>Sept</t>
  </si>
  <si>
    <t>Oct</t>
  </si>
  <si>
    <t>Nov</t>
  </si>
  <si>
    <t>Dec</t>
  </si>
  <si>
    <t>Retail Native Load</t>
  </si>
  <si>
    <t>Add Adjustment for KAFB reading</t>
  </si>
  <si>
    <t>Net Co 2 Native Load</t>
  </si>
  <si>
    <t>Wholesale NITS Load</t>
  </si>
  <si>
    <t>Western for Kirtland Air Force Base</t>
  </si>
  <si>
    <t>Net of WAPA</t>
  </si>
  <si>
    <t>Tri-State G&amp;T</t>
  </si>
  <si>
    <t>Los Alamos County</t>
  </si>
  <si>
    <t>City of Gallup</t>
  </si>
  <si>
    <t>Navopache Electric Cooperative</t>
  </si>
  <si>
    <t>City of Aztec</t>
  </si>
  <si>
    <t>NTUA</t>
  </si>
  <si>
    <t>Total Wholesale NITS Load</t>
  </si>
  <si>
    <t>Pre-OATT PTP Load</t>
  </si>
  <si>
    <t>El Paso Electric Company</t>
  </si>
  <si>
    <t>Western P0695 &amp; 2425</t>
  </si>
  <si>
    <t>Navajo Agricultural Products Industry</t>
  </si>
  <si>
    <t>Total Pre-OATT PTP Load</t>
  </si>
  <si>
    <t>OATT Long Term Firm PTP</t>
  </si>
  <si>
    <t>TSR</t>
  </si>
  <si>
    <t>Tri-State - Hidalgo-Greenlee</t>
  </si>
  <si>
    <t>PNMM SJ-Coronado</t>
  </si>
  <si>
    <t>EPE FC-WM</t>
  </si>
  <si>
    <t>Total Long Term Firm PTP</t>
  </si>
  <si>
    <t>Total Unadjusted Transmission Demand</t>
  </si>
  <si>
    <t>Incremental Priced Service</t>
  </si>
  <si>
    <t>Allocation Factor for Third Party Transmission Service</t>
  </si>
  <si>
    <t>Allocation</t>
  </si>
  <si>
    <t>Allocated</t>
  </si>
  <si>
    <t>Arizona Public Service Company</t>
  </si>
  <si>
    <t>to Requirements</t>
  </si>
  <si>
    <t>130 MW Palo Verde to Four Corners</t>
  </si>
  <si>
    <t>10 MW Kyrene to Four Corners</t>
  </si>
  <si>
    <t>Western Area Power Administration</t>
  </si>
  <si>
    <t>25 MW West Mesa to Amrad</t>
  </si>
  <si>
    <t>100 % Retail Native Load</t>
  </si>
  <si>
    <t>111 Afton to west Mesa</t>
  </si>
  <si>
    <t>30 MW Afton to West Mesa</t>
  </si>
  <si>
    <t>Tucson electric Power Company</t>
  </si>
  <si>
    <t>14 MW San Juan to Greenlee</t>
  </si>
  <si>
    <t>100% Retail Native Load</t>
  </si>
  <si>
    <t>Tri-State Generation and Transmission Inc</t>
  </si>
  <si>
    <t>Network Transmission Service to Clayton</t>
  </si>
  <si>
    <t>Network Transmission Service to Gallup</t>
  </si>
  <si>
    <t>100% to Gallup</t>
  </si>
  <si>
    <t>Total Third Party Transmission Allocated to Requirement NITS Customers</t>
  </si>
  <si>
    <t>Monthly Peak load</t>
  </si>
  <si>
    <t>Form 1, page 401b</t>
  </si>
  <si>
    <t>City of Gallup Net of WAPA</t>
  </si>
  <si>
    <t>City of Aztec - Net of WAPA</t>
  </si>
  <si>
    <t>Total Requirements Load</t>
  </si>
  <si>
    <t>Gallup Net Peak</t>
  </si>
  <si>
    <t>Measured</t>
  </si>
  <si>
    <t>WAPA</t>
  </si>
  <si>
    <t>Net Generation by PNM</t>
  </si>
  <si>
    <t>Aztec Net peak</t>
  </si>
  <si>
    <t>Schedule 1A - Allocation of Shared Services General and Intangible Plant to Transmission</t>
  </si>
  <si>
    <t>General and Intangible Plant In Service (Allocated from Shared Services)</t>
  </si>
  <si>
    <t>Schedule 1A</t>
  </si>
  <si>
    <t>Allocated to Transmission</t>
  </si>
  <si>
    <t>General and Intangible Accumulated Depreciation (Allocated from Shared Services)</t>
  </si>
  <si>
    <t xml:space="preserve">General and Intangible Accumulated Depreciation </t>
  </si>
  <si>
    <t>Transmission Related</t>
  </si>
  <si>
    <t>Non-Transmission Related</t>
  </si>
  <si>
    <t>(per Company records)</t>
  </si>
  <si>
    <t>Company records</t>
  </si>
  <si>
    <t>Rent from Electric Property - Transmission Related</t>
  </si>
  <si>
    <t>Rent from Electric Property - Distribution Related</t>
  </si>
  <si>
    <t>page 300, line 19, column b</t>
  </si>
  <si>
    <t>Schedule 12 - Revenue Credits</t>
  </si>
  <si>
    <t>Rent From Electric Property - FERC Account 454</t>
  </si>
  <si>
    <t>Current year</t>
  </si>
  <si>
    <t>Current Year</t>
  </si>
  <si>
    <t>Allocated based on SS plant allocation</t>
  </si>
  <si>
    <t>Pension Curtailment</t>
  </si>
  <si>
    <t>Allocation included in 190 Pension</t>
  </si>
  <si>
    <t>row_seq</t>
  </si>
  <si>
    <t>spplmnt_num</t>
  </si>
  <si>
    <t>row_literal</t>
  </si>
  <si>
    <t>row_prvlg</t>
  </si>
  <si>
    <t>payment_by</t>
  </si>
  <si>
    <t>erg_recv_from</t>
  </si>
  <si>
    <t>erg_delvd_to</t>
  </si>
  <si>
    <t>sttstcl_clssfctn</t>
  </si>
  <si>
    <t>rtsched_trffnbr</t>
  </si>
  <si>
    <t>receipt_point</t>
  </si>
  <si>
    <t>delivery_point</t>
  </si>
  <si>
    <t>billing_demand</t>
  </si>
  <si>
    <t>mwh_recv</t>
  </si>
  <si>
    <t>mwh_delvd</t>
  </si>
  <si>
    <t>dmnd_charges</t>
  </si>
  <si>
    <t>erg_charges</t>
  </si>
  <si>
    <t>othr_charges</t>
  </si>
  <si>
    <t>tot_revenues</t>
  </si>
  <si>
    <t>Demand Allocator</t>
  </si>
  <si>
    <t>Bilateral</t>
  </si>
  <si>
    <t>Real power Losses</t>
  </si>
  <si>
    <t>Deferral Payments</t>
  </si>
  <si>
    <t>intercompany elimination</t>
  </si>
  <si>
    <t>Schedule 12A - Transmission Revenue - Tie out to FERC Form 1</t>
  </si>
  <si>
    <t>Source: Company Records</t>
  </si>
  <si>
    <t>Schedule 12A</t>
  </si>
  <si>
    <t>Schedule 1B - Projected Plant Calculations</t>
  </si>
  <si>
    <t>Projected Net Plant in Service</t>
  </si>
  <si>
    <t>Total Requested Transmission Net Plant in Service</t>
  </si>
  <si>
    <t>Plant In Service Calculation, Projected</t>
  </si>
  <si>
    <t>Accumulated Depreciation Calculation, Projected</t>
  </si>
  <si>
    <t>Calculated Depreciation Expense on Projected Projects</t>
  </si>
  <si>
    <t>Total Depreciation Expense</t>
  </si>
  <si>
    <t>Composite Depreciation Transmission Rate</t>
  </si>
  <si>
    <t>Schedule 1B</t>
  </si>
  <si>
    <t>Transmission Accumulated Deferred Income Taxes</t>
  </si>
  <si>
    <t>Transmission Tax Depreciation Expense</t>
  </si>
  <si>
    <t>Total Tax Depreciation Expense</t>
  </si>
  <si>
    <t>Average Transmission Accumulated Deferred Income Taxes</t>
  </si>
  <si>
    <t>Adjusted Balance</t>
  </si>
  <si>
    <t>Property Tax Costs - Corporate Allocation</t>
  </si>
  <si>
    <t>Total Property Tax Costs Allocated to Transmission</t>
  </si>
  <si>
    <t>WAPA 12 month Total Demand from Trans Demand Allocator Worksheet</t>
  </si>
  <si>
    <t>PNM Transmission Rate In Historical Period</t>
  </si>
  <si>
    <t>Revenues to PNM if WAPA paid for transmission service</t>
  </si>
  <si>
    <t>Actual Test Period WAPA Revenue</t>
  </si>
  <si>
    <t>Deficiency - Revised Costs Imputed to WAPA</t>
  </si>
  <si>
    <t>WAPA Revenue - Historical Period</t>
  </si>
  <si>
    <t>Settled</t>
  </si>
  <si>
    <t>Actual including rate increase</t>
  </si>
  <si>
    <t>Demand</t>
  </si>
  <si>
    <t>Final Revenue</t>
  </si>
  <si>
    <t>Less diversity credit</t>
  </si>
  <si>
    <t>Net</t>
  </si>
  <si>
    <t>Net Western Service rate</t>
  </si>
  <si>
    <t>Notes:</t>
  </si>
  <si>
    <t>Contracts P0695 and 2425</t>
  </si>
  <si>
    <t>Plant In Service  - Direct Assignment</t>
  </si>
  <si>
    <t>Accumulated Depreciation  - Direct Assignment</t>
  </si>
  <si>
    <t>Depreciation Expense - Direct Assignment</t>
  </si>
  <si>
    <t>Accumulated Deferred Income Tax  - Direct Assignment</t>
  </si>
  <si>
    <t>Noe Substation and 115kV Transmission Lines</t>
  </si>
  <si>
    <t>Direct Assignment</t>
  </si>
  <si>
    <t>Radial Lines</t>
  </si>
  <si>
    <t>Less Depreciation Expense Related to Direct Assigned</t>
  </si>
  <si>
    <t>Schedule 13</t>
  </si>
  <si>
    <t>line 12, Attachment H-1</t>
  </si>
  <si>
    <t>line 11, Attachment H-1</t>
  </si>
  <si>
    <t>(line 34)</t>
  </si>
  <si>
    <t>(line 49)</t>
  </si>
  <si>
    <t>(Line 11 - line 12)</t>
  </si>
  <si>
    <t>(Line 4 - line 5)</t>
  </si>
  <si>
    <t>(Line 2 / Line 6)</t>
  </si>
  <si>
    <t>line 24, Attachment H-1</t>
  </si>
  <si>
    <t>line 28, Attachment H-1</t>
  </si>
  <si>
    <t>(line 28 * line 29)</t>
  </si>
  <si>
    <t>line 31, Attachment H-1</t>
  </si>
  <si>
    <t>(line 25 + line 32)</t>
  </si>
  <si>
    <t>line 38, Attachment H-1</t>
  </si>
  <si>
    <t>line 41, Attachment H-1</t>
  </si>
  <si>
    <t>(line 41 * line 42)</t>
  </si>
  <si>
    <t>line 44, Attachment H-1</t>
  </si>
  <si>
    <t>(line 43 + line 44)</t>
  </si>
  <si>
    <t>(line 39 + line 45)</t>
  </si>
  <si>
    <t>(line 34 - line 47)</t>
  </si>
  <si>
    <t>line 52, Attachment H-1</t>
  </si>
  <si>
    <t>line 53, Attachment H-1</t>
  </si>
  <si>
    <t>line 54, Attachment H-1</t>
  </si>
  <si>
    <t>line 65, Attachment H-1</t>
  </si>
  <si>
    <t>line 69, Attachment H-1</t>
  </si>
  <si>
    <t>line 71, Attachment H-1</t>
  </si>
  <si>
    <t>(line 8)</t>
  </si>
  <si>
    <t>line 78, Attachment H-1</t>
  </si>
  <si>
    <t>line 79, Attachment H-1</t>
  </si>
  <si>
    <t>line 82, Attachment H-1</t>
  </si>
  <si>
    <t xml:space="preserve">Injuries and Damages Reserve </t>
  </si>
  <si>
    <t>(line 82 * line 83)</t>
  </si>
  <si>
    <t>line 86, Attachment H-1</t>
  </si>
  <si>
    <t>(line 60 + line 88)</t>
  </si>
  <si>
    <t>line 106, Attachment H-1</t>
  </si>
  <si>
    <t>(sum of line 52 through line 57)</t>
  </si>
  <si>
    <t>(line 19)</t>
  </si>
  <si>
    <t>line 124, Attachment H-1</t>
  </si>
  <si>
    <t>line 132, Attachment H-1</t>
  </si>
  <si>
    <t>line 143, Attachment H-1</t>
  </si>
  <si>
    <t>(line 90)</t>
  </si>
  <si>
    <t>line 172, Attachment H-1</t>
  </si>
  <si>
    <t>(Fed Tax Rate / 1 - Fed Tax Rate)</t>
  </si>
  <si>
    <t>(line 172)</t>
  </si>
  <si>
    <t>(line 165)</t>
  </si>
  <si>
    <t>(line 229)</t>
  </si>
  <si>
    <t>(line 238 * line 242)</t>
  </si>
  <si>
    <t>(line 239 * line 243)</t>
  </si>
  <si>
    <t>Schedule 12</t>
  </si>
  <si>
    <t>line 272, Attachment H-1</t>
  </si>
  <si>
    <t>line 273, Attachment H-1</t>
  </si>
  <si>
    <t>OATT Schedule 7 - Short Term, Firm</t>
  </si>
  <si>
    <t>OATT Schedule 8 - Non-Firm</t>
  </si>
  <si>
    <t>OATT Schedule 8 - Conditional Firm</t>
  </si>
  <si>
    <t>line 274, Attachment H-1</t>
  </si>
  <si>
    <t xml:space="preserve">Certain generation step up and interconnection facilities are classified in transmission plant accounts. </t>
  </si>
  <si>
    <t>These items are reclassified in the Direct Assignment column to be reflected as production plant accounts.</t>
  </si>
  <si>
    <t>Third Party Transmission Sheet</t>
  </si>
  <si>
    <t>Removal of WAPA Contract 2425 and NAPI</t>
  </si>
  <si>
    <t>WAPA Contract 2425 Demand - MW</t>
  </si>
  <si>
    <t>WAPA Contract P0695 Demand - MW</t>
  </si>
  <si>
    <t>Breakdown of GFA Allocation</t>
  </si>
  <si>
    <t xml:space="preserve">WAPA combined 12CP </t>
  </si>
  <si>
    <t>MW</t>
  </si>
  <si>
    <t>Allocation to Contract 2425 - 140/239</t>
  </si>
  <si>
    <t>Allocation to Contract P0695 - 99/239</t>
  </si>
  <si>
    <t>Total GFA Allocation MW</t>
  </si>
  <si>
    <t>WAPA P0695</t>
  </si>
  <si>
    <t>Total included in allocation and rate design</t>
  </si>
  <si>
    <t>Removed GFA</t>
  </si>
  <si>
    <t>WAPA 2425</t>
  </si>
  <si>
    <t>NAPI</t>
  </si>
  <si>
    <t>Total excluded in allocation and rate design</t>
  </si>
  <si>
    <t>Total GFA to proof to Trans Demand Allocator worksheet</t>
  </si>
  <si>
    <t>Remainder of GFA ATRR to PTP rate design</t>
  </si>
  <si>
    <t>OATT PTP  ATRR allocation</t>
  </si>
  <si>
    <t>Per KW/year</t>
  </si>
  <si>
    <t>Per KW/month</t>
  </si>
  <si>
    <t>Per KW/Week</t>
  </si>
  <si>
    <t>Per KW/Day</t>
  </si>
  <si>
    <t>Per KW/hour</t>
  </si>
  <si>
    <t>Monthly Billing Units - MW</t>
  </si>
  <si>
    <t>Western P0695</t>
  </si>
  <si>
    <t>Total Billing Units</t>
  </si>
  <si>
    <t>With Losses</t>
  </si>
  <si>
    <t>Customer Demand Unadjusted for Losses</t>
  </si>
  <si>
    <t>Annual Transmission Revenue Requirement</t>
  </si>
  <si>
    <t>Transmission Wages Expense</t>
  </si>
  <si>
    <t>Operations and Maintenance Expense</t>
  </si>
  <si>
    <t>Less FERC 922 - Administrative Expenses Transferred - Credit</t>
  </si>
  <si>
    <t>General Expenses Allocated to Transmission</t>
  </si>
  <si>
    <t>Less Accumulated Other Comprehensive Income</t>
  </si>
  <si>
    <t>Note 1:</t>
  </si>
  <si>
    <t>Note 2:</t>
  </si>
  <si>
    <t>Note 3:</t>
  </si>
  <si>
    <t xml:space="preserve">Under "Accumulated Deferred Income Tax Calculation, projected" the associated ADIT balances are calculated, related to the new projected plant in service.  </t>
  </si>
  <si>
    <t>Note 4:</t>
  </si>
  <si>
    <t>Note 5:</t>
  </si>
  <si>
    <t>Note 6:</t>
  </si>
  <si>
    <t>The "Calculation of Tax Depreciation Expense on Projected Projects" schedule is used to calculate the ADIT balances discussed in Note 3.</t>
  </si>
  <si>
    <t>Under "Plant in Service Calculation, Projected" - original cost of plant in service is included in the month the project is projected to be in-service.  These are the projections to be included in year 1, Attachment H-1</t>
  </si>
  <si>
    <t xml:space="preserve">Note:  ADIT Balances are included in the formula rate based on amounts included in rate base.  ADIT amounts are reconciled to FERC Form No. 1 pages.  </t>
  </si>
  <si>
    <t>Estimated</t>
  </si>
  <si>
    <t>Note:</t>
  </si>
  <si>
    <t>Regulatory Assets are identified in the FERC Form No. 1.  Additional line items will be added  or removed from schedule to reflect changes in regulatory assets.</t>
  </si>
  <si>
    <t>{A}</t>
  </si>
  <si>
    <t>{B}</t>
  </si>
  <si>
    <t>({A} + {B}) / 2</t>
  </si>
  <si>
    <t>Page 232, line 1, column b</t>
  </si>
  <si>
    <t>Page 232, line 2, column b</t>
  </si>
  <si>
    <t>Page 232, line 3, column b</t>
  </si>
  <si>
    <t>Page 232, line 6, column b</t>
  </si>
  <si>
    <t>Page 232, line 7, column b</t>
  </si>
  <si>
    <t>Page 232, line 2, column f</t>
  </si>
  <si>
    <t>Page 232, line 3, column f</t>
  </si>
  <si>
    <t>Page 232, line 6, column f</t>
  </si>
  <si>
    <t>Page 232, line 7, column f</t>
  </si>
  <si>
    <t>Page 232, line 1, column f</t>
  </si>
  <si>
    <t>Line No.</t>
  </si>
  <si>
    <t>({A} + {B} / 2)</t>
  </si>
  <si>
    <t>{C}</t>
  </si>
  <si>
    <t>{D}</t>
  </si>
  <si>
    <t>({C} + {D} / 2)</t>
  </si>
  <si>
    <t>({A} + {B} / 2) * -1</t>
  </si>
  <si>
    <t>Average Balance Transmission Related Other Deferred Credits</t>
  </si>
  <si>
    <t>Additional items will be added to this schedule, based on the current year activity.</t>
  </si>
  <si>
    <t>Page 323, line 183, column b</t>
  </si>
  <si>
    <t>Total Corporate Allocation Expenses reported in FERC 922</t>
  </si>
  <si>
    <t>Note 4</t>
  </si>
  <si>
    <t>Payroll Related</t>
  </si>
  <si>
    <t>Property Related</t>
  </si>
  <si>
    <t>See Calculation Below</t>
  </si>
  <si>
    <t>Payroll Tax Costs - Corporate Allocation</t>
  </si>
  <si>
    <t>Total Payroll Tax Costs Allocated to Transmission</t>
  </si>
  <si>
    <t>see Schedule 10</t>
  </si>
  <si>
    <t>changes in taxes other than income.</t>
  </si>
  <si>
    <t xml:space="preserve">Allocated to Transmission, included above </t>
  </si>
  <si>
    <t>see Rate Design worksheet</t>
  </si>
  <si>
    <t xml:space="preserve">Page </t>
  </si>
  <si>
    <t>Total OATT Schedule 8</t>
  </si>
  <si>
    <t>Conditional Firm (SPS - OLF classification)</t>
  </si>
  <si>
    <t>Remaining Schedule 8 revenues</t>
  </si>
  <si>
    <t>Line</t>
  </si>
  <si>
    <t>Redispatch Contract</t>
  </si>
  <si>
    <t>OATT Schedule 1</t>
  </si>
  <si>
    <t>OATT Schedule 2</t>
  </si>
  <si>
    <t>Allocations</t>
  </si>
  <si>
    <t>Trans Demand Allocator Sheet</t>
  </si>
  <si>
    <t>line 3, Rate Design sheet</t>
  </si>
  <si>
    <t>line 4, Rate Design sheet</t>
  </si>
  <si>
    <t>line 5, Rate Design sheet</t>
  </si>
  <si>
    <t>line 6, Rate Design sheet</t>
  </si>
  <si>
    <t>Imputed WAPA Transmission Exp Sheet</t>
  </si>
  <si>
    <t>(line 30 + line 31)</t>
  </si>
  <si>
    <t>Attachment H-1  - Current Year Formula Rate</t>
  </si>
  <si>
    <t>Network Credits - High Lonesome Mesa</t>
  </si>
  <si>
    <t>Total Plant In Service - PNM Resources</t>
  </si>
  <si>
    <t>13 month average</t>
  </si>
  <si>
    <t>PNM Resources Holding Co.</t>
  </si>
  <si>
    <t>Total Accumulated Depreciation- PNM Resources</t>
  </si>
  <si>
    <t>Plant in Service - Allocation of Shared Services to Transmission Function</t>
  </si>
  <si>
    <t>Plant in Service - PNM Resources</t>
  </si>
  <si>
    <t>Accumulated Depreciation - PNM Resources</t>
  </si>
  <si>
    <t>Accumulated Depreciation - Allocation of Shared Services to Transmission Function</t>
  </si>
  <si>
    <t>Plant In Service - Allocated to Transmission Function</t>
  </si>
  <si>
    <t>Total Accumulated Depreciation-Allocated to Transmission Function</t>
  </si>
  <si>
    <t>Balance per FERC Form 60 for PNMR Services Company, Schedule I, line 2, column e</t>
  </si>
  <si>
    <t>Balance per FERC Form 60 for PNMR Services Company, Schedule I, line 4, column e</t>
  </si>
  <si>
    <t>Subtotal</t>
  </si>
  <si>
    <t>Less OSO Grande Capital lease</t>
  </si>
  <si>
    <t>Reconciliation to FERC Form 60  - PNMR Services Company</t>
  </si>
  <si>
    <t>Balance per FERC Form 60 for PNMR Services Company, Schedule I, line 2, column d</t>
  </si>
  <si>
    <t>Balance per FERC Form 60 for PNMR Services Company, Schedule I, line 4, column d</t>
  </si>
  <si>
    <t>Total Plant in Service</t>
  </si>
  <si>
    <t>Balance per FERC Form 60 for PNMR Services Company, Schedule I, line 7, column e</t>
  </si>
  <si>
    <t>Balance per FERC Form 60 for PNMR Services Company, Schedule I, line 8, column e</t>
  </si>
  <si>
    <t>PNM Shared Services ***</t>
  </si>
  <si>
    <t>** Reconciliation to FERC Form 60  - PNMR Services Company</t>
  </si>
  <si>
    <t>*** Reconciliation to FERC Form 60  - PNMR Services Company</t>
  </si>
  <si>
    <t>Balance per FERC Form 60 for PNMR Services Company, Schedule I, line 7, column d</t>
  </si>
  <si>
    <t>Balance per FERC Form 60 for PNMR Services Company, Schedule I, line 8, column d</t>
  </si>
  <si>
    <t>PNMR Services Company **</t>
  </si>
  <si>
    <t>The Allocation to Transmission Function is based on the Cost Allocation Methods and percentages calculated for the current year period.</t>
  </si>
  <si>
    <t>Schedule 5 - Miscellaneous Deferred Debits</t>
  </si>
  <si>
    <t>to reflect changes in miscellaneous deferred debits.</t>
  </si>
  <si>
    <t>Less Account 561</t>
  </si>
  <si>
    <t>line 107, Attachment H-1</t>
  </si>
  <si>
    <t>Note 2</t>
  </si>
  <si>
    <t>Monthly plant balances are derived from plant management system.</t>
  </si>
  <si>
    <t>Calculation of Tax Depreciation Expense on Projected Projects</t>
  </si>
  <si>
    <t>Total Account 282, Corporate Allocation &amp; Direct Assignment</t>
  </si>
  <si>
    <t>Liberalized Depreciation on Direct Assignment</t>
  </si>
  <si>
    <t>Page 233, line 3, column f</t>
  </si>
  <si>
    <t>Page 233, line 4, column f</t>
  </si>
  <si>
    <t>Transmission Materials and Supplies</t>
  </si>
  <si>
    <t>Schedule 9 - Operations and Maintenance Expense</t>
  </si>
  <si>
    <t>Total FERC 928 - Regulatory Commission expense Direct Assigned to FERC Transmission</t>
  </si>
  <si>
    <t>Note 2:  In FERC Form No. 1, expenses from PNMR Services Company (corporate allocation), that are not reflected in FERC 501 - FERC 935, are included in FERC 922.</t>
  </si>
  <si>
    <t>Below is a detail breakout of costs allocated to PNM from PNMR Services Company, that are reflected in FERC Form No. 1 in FERC 922.</t>
  </si>
  <si>
    <t xml:space="preserve"> Corporate Allocation Expenses, by FERC account from PNMR Services Company, reported in FERC 922:</t>
  </si>
  <si>
    <t>Note 3:  Taxes other than income from Corporate Allocation are allocated between payroll related, property related, and other, similar to classifications on PNM above.</t>
  </si>
  <si>
    <t>Taxes other than Income Taxes - Corporate Allocation</t>
  </si>
  <si>
    <t>Total FERC Account 454 - Rent from Electric Property</t>
  </si>
  <si>
    <t>Schedule 13 Direct Assignment</t>
  </si>
  <si>
    <t>input to Schedule 2 - ADIT</t>
  </si>
  <si>
    <t xml:space="preserve">Removal of ATRR for GFA </t>
  </si>
  <si>
    <t>See Third Party Transmission Worksheet</t>
  </si>
  <si>
    <t>60 MW Luna to Springerville</t>
  </si>
  <si>
    <t>Allocation of Regulatory Commission Expense to FERC Jurisdictional Class</t>
  </si>
  <si>
    <t>Allocation Factor for FERC Regulatory Commission Expenses</t>
  </si>
  <si>
    <t>Network Integration Transmission Service</t>
  </si>
  <si>
    <t>GFA</t>
  </si>
  <si>
    <t>OATT Firm PTP</t>
  </si>
  <si>
    <t>Ave MW</t>
  </si>
  <si>
    <t>Allocated ATRR Including Allocated Regulatory Commission Expenses</t>
  </si>
  <si>
    <t>Non Jurisdictional</t>
  </si>
  <si>
    <t>Reduce GFA ATRR</t>
  </si>
  <si>
    <t>Reduce OATT Firm PTP ATRR</t>
  </si>
  <si>
    <t>Allocation of Short Term Firm PTP Transmission Sales</t>
  </si>
  <si>
    <t>Allocated ATRR Net of Short Term Firm PTP Sales Revenue</t>
  </si>
  <si>
    <t>Gross up of Regulatory Commission Expenses to Add to 100% ATRR</t>
  </si>
  <si>
    <t>ATRR for Network Transmission Service Customers with Regulatory Expenses</t>
  </si>
  <si>
    <t>Already Credited by Inclusion in Monthly LRS</t>
  </si>
  <si>
    <t>Allocation to Gallup</t>
  </si>
  <si>
    <t>Allocation to Navopache</t>
  </si>
  <si>
    <t>Allocation to Aztec</t>
  </si>
  <si>
    <t>%</t>
  </si>
  <si>
    <t>Annual Charge to Pro Rate Monthly to Gallup</t>
  </si>
  <si>
    <t>Annual Charge to Pro Rate Monthly to Navopache</t>
  </si>
  <si>
    <t>Annual Charge to Pro Rate Monthly to Aztec</t>
  </si>
  <si>
    <t>(line 50)</t>
  </si>
  <si>
    <t>(line 33)</t>
  </si>
  <si>
    <t>Schedule 15 - Interest Expense for Cost of Debt</t>
  </si>
  <si>
    <t>Interest for year - Long-Term Debt</t>
  </si>
  <si>
    <t>Recording of capitalized interest</t>
  </si>
  <si>
    <t>FERC 427, Interest on Long-Term Debt</t>
  </si>
  <si>
    <t>page 117, line 63, column c</t>
  </si>
  <si>
    <t>FERC 428.1, Amortization of Loss on Reacquired Debt</t>
  </si>
  <si>
    <t>page 117, line 64, column c</t>
  </si>
  <si>
    <t>Page 117, line 65, column c</t>
  </si>
  <si>
    <t>Less FERC 429, Amort. Of Gain of Premium on Debt (credit)</t>
  </si>
  <si>
    <t>Less FERC 429.1, Amort. Of Gain on Reacquired Debt (credit)</t>
  </si>
  <si>
    <t>Page 117, line 66, column c</t>
  </si>
  <si>
    <t>Amortization of Debt Related Hedge Loss</t>
  </si>
  <si>
    <t>FERC 425, Miscellaneous Amortization</t>
  </si>
  <si>
    <t>Total Interest Expense</t>
  </si>
  <si>
    <t>(sum of {A's})</t>
  </si>
  <si>
    <t>Schedule 15</t>
  </si>
  <si>
    <t>Note1: Credit recorded to FERC 427 for capitalized interest is excluded in calculation for annual interest expense to calculate average cost of debt.</t>
  </si>
  <si>
    <t xml:space="preserve">Note 2:  Interest expense includes the amortization of a hedge loss incurred in 2003 associated with the refinancing of $182 million of PCBs.  PNM had </t>
  </si>
  <si>
    <t xml:space="preserve">previously entered into various forward swaps to hedge the interest rate on the refinancing.    </t>
  </si>
  <si>
    <t>FERC 428, Amort. Of Debt Disc. And Expense</t>
  </si>
  <si>
    <t>Details of FERC 425 - Miscellaneous Amortization</t>
  </si>
  <si>
    <t>line 9, Rate Design worksheet</t>
  </si>
  <si>
    <t>(line 9 * allocation % on line 10)</t>
  </si>
  <si>
    <t>(line 9 * allocation % on line 11)</t>
  </si>
  <si>
    <t>(line 9 * allocation % on line 12)</t>
  </si>
  <si>
    <t>(line 10 + line 11 + line 12)</t>
  </si>
  <si>
    <t>(line 1 * allocation % on line 3)</t>
  </si>
  <si>
    <t>(line 1 * allocation % on line 4)</t>
  </si>
  <si>
    <t>(line 1 * allocation % on line 5)</t>
  </si>
  <si>
    <t>(line 1 * allocation % on line 6)</t>
  </si>
  <si>
    <t>(Line 4 + Line 5 + Line 6)</t>
  </si>
  <si>
    <t>(line 1 + line 15)</t>
  </si>
  <si>
    <t>(line 9 / (1 - allocation % on line 3))</t>
  </si>
  <si>
    <t>(line 23 * allocation % on line 24)</t>
  </si>
  <si>
    <t>(line 23 * allocation % on line 25)</t>
  </si>
  <si>
    <t>(line 23 * allocation % on line 26)</t>
  </si>
  <si>
    <t>(line 23 * allocation % on line 27)</t>
  </si>
  <si>
    <t>(line 24 + line 25 + line 26 + line 27)</t>
  </si>
  <si>
    <t>Check total to line 23</t>
  </si>
  <si>
    <t>Check total to line 9</t>
  </si>
  <si>
    <t>(Line 5 + Line 11)</t>
  </si>
  <si>
    <t>(Line 6 + Line 12)</t>
  </si>
  <si>
    <t>(Line 16)</t>
  </si>
  <si>
    <t>(Line 19 + Line 26)</t>
  </si>
  <si>
    <t>(Line 20 +Line 27)</t>
  </si>
  <si>
    <t>Check total to line 37</t>
  </si>
  <si>
    <t>Total Allocated to FERC Jurisdictional Classifications</t>
  </si>
  <si>
    <t>Assignment of Allocated Third Party Transmission Service Expense to Requirements Customers</t>
  </si>
  <si>
    <t>Less Average Accumulated Depreciation Electric Plant In Service</t>
  </si>
  <si>
    <t>(line 15 / line 11)</t>
  </si>
  <si>
    <t>(line 18 / line 13)</t>
  </si>
  <si>
    <t>Note 3</t>
  </si>
  <si>
    <t>See Rate Design worksheet for Final ATRR including direct assigned expenses.</t>
  </si>
  <si>
    <t>Contract Demand</t>
  </si>
  <si>
    <t>Contract Demand (6 @ 107, 6 @ 91)</t>
  </si>
  <si>
    <t xml:space="preserve">Schedule 20 - Generation Demand Allocator </t>
  </si>
  <si>
    <t xml:space="preserve">Schedule 19 - Third Party Transmission Services </t>
  </si>
  <si>
    <t>Schedule 18 - Computation of Imputed Unrecovered Cost of WAPA Transmission Service</t>
  </si>
  <si>
    <t>Schedule 17 - Transmission Demand Allocator</t>
  </si>
  <si>
    <t>Schedule 16 - Rate Design Sheet</t>
  </si>
  <si>
    <t>P0695 Rate Calculation</t>
  </si>
  <si>
    <t>OATT Monthly PTP Rate</t>
  </si>
  <si>
    <t>Less Diversity Discount of 15%</t>
  </si>
  <si>
    <t>Less WAPa Credit</t>
  </si>
  <si>
    <t>Net P0695 Monthly PTP Rate</t>
  </si>
  <si>
    <t>See Schedule 13 for detail of direct assignment.</t>
  </si>
  <si>
    <t>Averages are based on 13-months.</t>
  </si>
  <si>
    <t>Adjusted Balance column reflects the reclassification or removal of directly assigned plant.</t>
  </si>
  <si>
    <t>Note:  PNM Resources, Inc. ("PNMR") holds assets that benefit its subsidiaries, including PNM.  Costs associated with these assets are allocated to subsidiaries of PNMR.  The assets have been allocated to PNM Transmission based</t>
  </si>
  <si>
    <t xml:space="preserve">on Cost Allocation Methods as reported to the New Mexico Public Regulation Commission ("NMPRC").  These allocations are updated annually and filed with the NMPRC. </t>
  </si>
  <si>
    <t>Below is a reconciliation of the December beginning and ending period balances to PNMR Services Company FERC Form No. 60.  All other amounts are from company records.</t>
  </si>
  <si>
    <t>Accumulated Depreciation is estimated based on estimated depreciation expense calculated under "Calculated Depreciation Expense".  Balance is accumulated by summarizing each months of projected depreciation expense.</t>
  </si>
  <si>
    <t>Under "Calculated Depreciation Expense on Projected Projects" depreciation expense is estimated utilizing the composite transmission depreciation rate.  Depreciation expense is calculated starting on the first month following the month placed in service.</t>
  </si>
  <si>
    <t>The composite transmission depreciation rate will be updated upon a new depreciation study performed by PNM, pursuant to protocols discussed in Attachment H-2.</t>
  </si>
  <si>
    <t xml:space="preserve">Miscellaneous Deferred Debits are identified in the FERC Form No. 1.  Additional line items will be added or removed from schedule </t>
  </si>
  <si>
    <t>Other Deferred Credits are identified in the FERC Form No. 1.  Additional line items will be added or removed from schedule to reflect changes in other deferred credits.</t>
  </si>
  <si>
    <t>Note 1:  PNM will remove amounts paid to EPRI that are include in Operations and Maintenance Expense.</t>
  </si>
  <si>
    <t xml:space="preserve">Note 3:  Regulatory Commission Expenses are identified in the FERC Form No. 1.  Additional line items will be added or removed from schedule to reflect </t>
  </si>
  <si>
    <t>changes in regulatory commission expenses.</t>
  </si>
  <si>
    <t xml:space="preserve">Note 1:  Taxes other than income are identified in the FERC Form No. 1.  Additional line items will be added or removed from schedule to reflect </t>
  </si>
  <si>
    <t>Note:  Generation step up and interconnection facilities are reported in FERC Transmission Plant Accounts.  These amounts are reclassified to production plant.</t>
  </si>
  <si>
    <t>Generation step up Transformers</t>
  </si>
  <si>
    <t>Generator interconnection Facilities</t>
  </si>
  <si>
    <t>As necessary, other directly assigned facilities will be included.</t>
  </si>
  <si>
    <t>Preferred Dividends (enter as positive number)</t>
  </si>
  <si>
    <t>page 112, line 28, column d</t>
  </si>
  <si>
    <t>January - December</t>
  </si>
  <si>
    <t>Renewable ITC basis difference</t>
  </si>
  <si>
    <t>page 117, line 44, column c</t>
  </si>
  <si>
    <t>New Generation</t>
  </si>
  <si>
    <t>SJ SCRS/BART Alternatives</t>
  </si>
  <si>
    <t>Research &amp; Development Credit</t>
  </si>
  <si>
    <t>Tax Credit Carryforwards to be allocated</t>
  </si>
  <si>
    <t>Tax Credits related to renewables</t>
  </si>
  <si>
    <t>Tax Credit Carryforwards per Form 1</t>
  </si>
  <si>
    <t>page 117, line 62, column c</t>
  </si>
  <si>
    <t>Navopache Electric Cooperative Net peak</t>
  </si>
  <si>
    <t>Parker Davis Allocation</t>
  </si>
  <si>
    <t>Service Rate - KW Month</t>
  </si>
  <si>
    <t>Weighted Service Rate</t>
  </si>
  <si>
    <t>Note 5</t>
  </si>
  <si>
    <t>Note 6</t>
  </si>
  <si>
    <t>page 350, line 2, column d</t>
  </si>
  <si>
    <t>Note 5:  PNM included in the formula rate recovery of certain rate case expenses incurred in FERC Docket Nos. ER13-685-000, et al, and ER13-690-000,et al. through December 31, 2013.</t>
  </si>
  <si>
    <t xml:space="preserve">PNM has included the amortization of these expenses over three years which will begin on June 1, 2014, concurrent with the implementation of this update. </t>
  </si>
  <si>
    <t>Note 4:  PNM received recovery of certain rate case expenses incurred related to FERC Docket No. ER11-1915-000,et al.  Amortization of expenses began in January 2013. PNM adjusted</t>
  </si>
  <si>
    <t xml:space="preserve">the historical FERC 928 regulatory commission expense to reflect the amortization of these expenses with the implementation of these formula rates.  </t>
  </si>
  <si>
    <t>Details of FERC 930.2 - Miscellaneous General Expenses</t>
  </si>
  <si>
    <t>Industry Association Dues</t>
  </si>
  <si>
    <t>page 335, line 1, column b</t>
  </si>
  <si>
    <t>Nuclear Power Research Expenses</t>
  </si>
  <si>
    <t>page 335, line 2, column b</t>
  </si>
  <si>
    <t>Other Experimental and General Research Expenses</t>
  </si>
  <si>
    <t>page 335, line 3, column b</t>
  </si>
  <si>
    <t>Pub &amp; Dist Info to Stkhldrs..,.expn servicing outstanding Securities</t>
  </si>
  <si>
    <t>page 335, line 4, column b</t>
  </si>
  <si>
    <t>Oth Expn &gt;=5,000 show purpose, recipient, amount. Group if &lt;$5,000</t>
  </si>
  <si>
    <t>page 335, line 5, column b</t>
  </si>
  <si>
    <t>Arizona Public Service Palo Verde Expense</t>
  </si>
  <si>
    <t>page 335, line 6, column b</t>
  </si>
  <si>
    <t>Arizona Public Service Four Corners Expense</t>
  </si>
  <si>
    <t>page 335, line 7, column b</t>
  </si>
  <si>
    <t>page 335, line 8, column b</t>
  </si>
  <si>
    <t>page 335, line 9, column b</t>
  </si>
  <si>
    <t>page 335, line 10, column b</t>
  </si>
  <si>
    <t>Total FERC 930.2 - Miscellaneous General Expenses</t>
  </si>
  <si>
    <t>({B} + {C})</t>
  </si>
  <si>
    <t>Total Other Non-Transmission Expenses</t>
  </si>
  <si>
    <t>({A} + {C})</t>
  </si>
  <si>
    <t>Less Other Non-Transmission Expenses</t>
  </si>
  <si>
    <t>Less Direct Assignment Related A&amp;G</t>
  </si>
  <si>
    <t>Allocation of A&amp;G to Direct Assignment</t>
  </si>
  <si>
    <t>A&amp;G Allocator</t>
  </si>
  <si>
    <t>O&amp;M - Direct Assigned</t>
  </si>
  <si>
    <t>Account 562 - Operation Station Expenses</t>
  </si>
  <si>
    <t>Account 563 - Overhead Line Expenses</t>
  </si>
  <si>
    <t>Account 571 - Maintenance of Overhead Lines</t>
  </si>
  <si>
    <t>TOTI - Directly Assigned</t>
  </si>
  <si>
    <t>Ad Valorem Taxes</t>
  </si>
  <si>
    <t>Account</t>
  </si>
  <si>
    <t>line 98, Attachment H-1</t>
  </si>
  <si>
    <t>Less Direct Assignment Related O&amp;M</t>
  </si>
  <si>
    <t>Less Unappropriated Undistributed Subsidiary Earnings</t>
  </si>
  <si>
    <t>Less Goodwill</t>
  </si>
  <si>
    <t>page 112, line 12, column c</t>
  </si>
  <si>
    <t>Less Depreciation Expense Related to Settlement Adjustment</t>
  </si>
  <si>
    <t>Schedule 1C - Settlement Adjustment</t>
  </si>
  <si>
    <t>Transmission Related Account 242 Balances</t>
  </si>
  <si>
    <t>Wages Payable (242001)</t>
  </si>
  <si>
    <t>United Way (242003)</t>
  </si>
  <si>
    <t>Deferred Wages (242008)</t>
  </si>
  <si>
    <t>Vacation (242010)</t>
  </si>
  <si>
    <t>Illness (242011)</t>
  </si>
  <si>
    <t>Holiday (242012)</t>
  </si>
  <si>
    <t>ESC Wellness Room (242034)</t>
  </si>
  <si>
    <t>Current Pension Liability - Non Qualified (242361)</t>
  </si>
  <si>
    <t>Sub-Total</t>
  </si>
  <si>
    <t>Total Transmission Related Account 242 Balances</t>
  </si>
  <si>
    <t>Non-Transmission Related Account 242 Balances</t>
  </si>
  <si>
    <t>Misc Current and Accrued (242000)</t>
  </si>
  <si>
    <t>Total Non-Transmission Related Account 242 Balances</t>
  </si>
  <si>
    <t>Total Account 242 Balances</t>
  </si>
  <si>
    <t>{E}</t>
  </si>
  <si>
    <t>Average Balance Transmission Related Account 242 Balances</t>
  </si>
  <si>
    <t>({D} + {E} / 2) * -1</t>
  </si>
  <si>
    <t>{F}</t>
  </si>
  <si>
    <t>({C} + {F})</t>
  </si>
  <si>
    <t>Transmission Plant</t>
  </si>
  <si>
    <t>Depreciation, calc at avg. rate</t>
  </si>
  <si>
    <t>Depreciation, per new study</t>
  </si>
  <si>
    <t>Change in Depreciation</t>
  </si>
  <si>
    <t>Change in Gross Plant</t>
  </si>
  <si>
    <t>Change in Accumulated Depreciation</t>
  </si>
  <si>
    <t>Impact to ADIT balances</t>
  </si>
  <si>
    <t>Gross Plant</t>
  </si>
  <si>
    <t>Increase / (Decrease)</t>
  </si>
  <si>
    <t>AFUDC Accrual on CWIP per ER11-1915</t>
  </si>
  <si>
    <t>CWIP in Rate Base as of June 1, 2011</t>
  </si>
  <si>
    <t>Additional AFUDC Debt, excluded per ER11-1915</t>
  </si>
  <si>
    <t>Additional AFUDC Equity, excluded per ER11-1915</t>
  </si>
  <si>
    <t>Total Adjustment Amount</t>
  </si>
  <si>
    <t>Annual Depreciation Rate</t>
  </si>
  <si>
    <t>Depreciation Expense</t>
  </si>
  <si>
    <t>Accumulated Depreciation Balance</t>
  </si>
  <si>
    <t>Net Plant in Service Balance</t>
  </si>
  <si>
    <t>ADIT Impact on AFUDC adjustment</t>
  </si>
  <si>
    <t>PV Commons</t>
  </si>
  <si>
    <t>Substations</t>
  </si>
  <si>
    <t>Settlement Adjustment</t>
  </si>
  <si>
    <t>Dual Use</t>
  </si>
  <si>
    <t>Underbuild</t>
  </si>
  <si>
    <t>Total Property Tax Costs Allocated to Transmission before Direct Assigned</t>
  </si>
  <si>
    <t>Direct Assigned Property Taxes</t>
  </si>
  <si>
    <t>line 144, Attachment H-1</t>
  </si>
  <si>
    <t>Schedule 3 Transmission Wages Expense</t>
  </si>
  <si>
    <t>Direct assigned O&amp;M labor</t>
  </si>
  <si>
    <t>Total Transmission Wages Expense</t>
  </si>
  <si>
    <t>line 2, Attachment H-1</t>
  </si>
  <si>
    <t>Schedule 3</t>
  </si>
  <si>
    <t>Line Terminal Description</t>
  </si>
  <si>
    <t xml:space="preserve"> Circuit</t>
  </si>
  <si>
    <t xml:space="preserve"> SD</t>
  </si>
  <si>
    <t>Miles</t>
  </si>
  <si>
    <t>Tax District</t>
  </si>
  <si>
    <t>Annual Depreciation Expense</t>
  </si>
  <si>
    <t>Cornell</t>
  </si>
  <si>
    <t xml:space="preserve"> SP Line Tap</t>
  </si>
  <si>
    <t xml:space="preserve"> CN</t>
  </si>
  <si>
    <t>004</t>
  </si>
  <si>
    <t>Coal</t>
  </si>
  <si>
    <t xml:space="preserve"> CO</t>
  </si>
  <si>
    <t>002</t>
  </si>
  <si>
    <t>Wesmeco</t>
  </si>
  <si>
    <t xml:space="preserve"> WC</t>
  </si>
  <si>
    <t>001</t>
  </si>
  <si>
    <t>Juan Tabo</t>
  </si>
  <si>
    <t xml:space="preserve"> Embudo</t>
  </si>
  <si>
    <t xml:space="preserve"> EJ</t>
  </si>
  <si>
    <t>Lawrence</t>
  </si>
  <si>
    <t xml:space="preserve"> SE Line Tap</t>
  </si>
  <si>
    <t xml:space="preserve"> LW</t>
  </si>
  <si>
    <t>Jefferson</t>
  </si>
  <si>
    <t xml:space="preserve"> AB Line Tap</t>
  </si>
  <si>
    <t xml:space="preserve"> JT</t>
  </si>
  <si>
    <t>293</t>
  </si>
  <si>
    <t>Montano</t>
  </si>
  <si>
    <t xml:space="preserve"> PN Line Tap </t>
  </si>
  <si>
    <t xml:space="preserve"> MP</t>
  </si>
  <si>
    <t>Montgomery Plaza</t>
  </si>
  <si>
    <t xml:space="preserve"> TL Line Tap</t>
  </si>
  <si>
    <t>None</t>
  </si>
  <si>
    <t>Unser</t>
  </si>
  <si>
    <t xml:space="preserve"> KM Line Tap</t>
  </si>
  <si>
    <t>061</t>
  </si>
  <si>
    <t>Lomas</t>
  </si>
  <si>
    <t xml:space="preserve"> Prager Sub</t>
  </si>
  <si>
    <t xml:space="preserve"> PL</t>
  </si>
  <si>
    <t>San Lucas</t>
  </si>
  <si>
    <t xml:space="preserve"> MA Line tap</t>
  </si>
  <si>
    <t xml:space="preserve"> LS</t>
  </si>
  <si>
    <t>Marquez</t>
  </si>
  <si>
    <t xml:space="preserve"> KC</t>
  </si>
  <si>
    <t>Church Rock</t>
  </si>
  <si>
    <t xml:space="preserve"> AY Line tap</t>
  </si>
  <si>
    <t xml:space="preserve"> CM</t>
  </si>
  <si>
    <t>Lost Horizon</t>
  </si>
  <si>
    <t xml:space="preserve"> BW Line Tap</t>
  </si>
  <si>
    <t xml:space="preserve"> LO</t>
  </si>
  <si>
    <t>Coal Mine NTUA</t>
  </si>
  <si>
    <t>Yah-Ta-Hey</t>
  </si>
  <si>
    <t>YN</t>
  </si>
  <si>
    <t>Segement from switch to Coal Mine</t>
  </si>
  <si>
    <t>El Dorado</t>
  </si>
  <si>
    <t xml:space="preserve"> SL Line Tap </t>
  </si>
  <si>
    <t xml:space="preserve"> ES</t>
  </si>
  <si>
    <t>410</t>
  </si>
  <si>
    <t>South Pacheco</t>
  </si>
  <si>
    <t xml:space="preserve"> Zia Switching Sta</t>
  </si>
  <si>
    <t xml:space="preserve"> ZF</t>
  </si>
  <si>
    <t>372</t>
  </si>
  <si>
    <t>Mejia</t>
  </si>
  <si>
    <t xml:space="preserve"> NS Line Tap</t>
  </si>
  <si>
    <t xml:space="preserve"> ZN</t>
  </si>
  <si>
    <t>Arriba</t>
  </si>
  <si>
    <t>Gallinas</t>
  </si>
  <si>
    <t xml:space="preserve"> AA</t>
  </si>
  <si>
    <t>353</t>
  </si>
  <si>
    <t>includes Gallinas to VS Line Tap</t>
  </si>
  <si>
    <t>Cuchilla</t>
  </si>
  <si>
    <t xml:space="preserve"> RS Line Tap</t>
  </si>
  <si>
    <t xml:space="preserve"> RC</t>
  </si>
  <si>
    <t>Signetics</t>
  </si>
  <si>
    <t>Avila</t>
  </si>
  <si>
    <t xml:space="preserve"> RB Line Tap</t>
  </si>
  <si>
    <t xml:space="preserve"> AV</t>
  </si>
  <si>
    <t>307</t>
  </si>
  <si>
    <t>North Bernalilo</t>
  </si>
  <si>
    <t>290</t>
  </si>
  <si>
    <t>Turquois</t>
  </si>
  <si>
    <t xml:space="preserve"> PD Tyrone</t>
  </si>
  <si>
    <t xml:space="preserve"> TY</t>
  </si>
  <si>
    <t>122</t>
  </si>
  <si>
    <t>Hondale</t>
  </si>
  <si>
    <t xml:space="preserve"> Hermanas</t>
  </si>
  <si>
    <t>201</t>
  </si>
  <si>
    <t>3 segments of MW line</t>
  </si>
  <si>
    <t>Sara 1&amp;2</t>
  </si>
  <si>
    <t xml:space="preserve"> Corrales Bluffs</t>
  </si>
  <si>
    <t xml:space="preserve"> CS</t>
  </si>
  <si>
    <t>297</t>
  </si>
  <si>
    <t>combined both segments</t>
  </si>
  <si>
    <t>Sara 3&amp;4</t>
  </si>
  <si>
    <t xml:space="preserve"> CT</t>
  </si>
  <si>
    <t>Gavilan</t>
  </si>
  <si>
    <t xml:space="preserve"> Hollywood</t>
  </si>
  <si>
    <t>HG</t>
  </si>
  <si>
    <t>Included in Hondale-Hermanas</t>
  </si>
  <si>
    <t>Hermanas</t>
  </si>
  <si>
    <t xml:space="preserve"> MK Line Tap</t>
  </si>
  <si>
    <t xml:space="preserve"> MW</t>
  </si>
  <si>
    <t>combined to 11.29</t>
  </si>
  <si>
    <t>MK Line Tap</t>
  </si>
  <si>
    <t xml:space="preserve"> Mimbres</t>
  </si>
  <si>
    <t>Included in Arriba-Gallinas</t>
  </si>
  <si>
    <t xml:space="preserve"> VS Line Tap</t>
  </si>
  <si>
    <t>combined to 3.76</t>
  </si>
  <si>
    <t>Transmission voltage facilities with Zero Net Book Value in Transmission Plant in Service</t>
  </si>
  <si>
    <t>Truman</t>
  </si>
  <si>
    <t xml:space="preserve"> TR</t>
  </si>
  <si>
    <t>Menaul</t>
  </si>
  <si>
    <t xml:space="preserve"> Inez</t>
  </si>
  <si>
    <t xml:space="preserve"> MT</t>
  </si>
  <si>
    <t>Indian Hospital</t>
  </si>
  <si>
    <t xml:space="preserve"> HW Line Tap</t>
  </si>
  <si>
    <t xml:space="preserve"> UT</t>
  </si>
  <si>
    <t>Lenkurt</t>
  </si>
  <si>
    <t xml:space="preserve"> EB Line Tap</t>
  </si>
  <si>
    <t xml:space="preserve"> LU</t>
  </si>
  <si>
    <t>Eastridge</t>
  </si>
  <si>
    <t xml:space="preserve"> ET</t>
  </si>
  <si>
    <t>Claremont</t>
  </si>
  <si>
    <t xml:space="preserve"> PN Line Tap</t>
  </si>
  <si>
    <t xml:space="preserve"> CL</t>
  </si>
  <si>
    <t>UNM North</t>
  </si>
  <si>
    <t xml:space="preserve"> UT Line Tap</t>
  </si>
  <si>
    <t>UT</t>
  </si>
  <si>
    <t>UNM Central</t>
  </si>
  <si>
    <t>Cottonwood</t>
  </si>
  <si>
    <t xml:space="preserve"> IC Line Tap</t>
  </si>
  <si>
    <t>CW</t>
  </si>
  <si>
    <t>Deming West/East</t>
  </si>
  <si>
    <t xml:space="preserve"> Gold</t>
  </si>
  <si>
    <t>DM</t>
  </si>
  <si>
    <t>Gold</t>
  </si>
  <si>
    <t xml:space="preserve"> Deming</t>
  </si>
  <si>
    <t>Deming</t>
  </si>
  <si>
    <t>Transmission Voltage Facilities Directly Assigned to City of Gallup</t>
  </si>
  <si>
    <t>Noe</t>
  </si>
  <si>
    <t xml:space="preserve"> EG Line Tap </t>
  </si>
  <si>
    <t xml:space="preserve"> NO</t>
  </si>
  <si>
    <t>NO Line Tap</t>
  </si>
  <si>
    <t xml:space="preserve"> AY Line Tap</t>
  </si>
  <si>
    <t xml:space="preserve"> EG</t>
  </si>
  <si>
    <t>Sunshine</t>
  </si>
  <si>
    <t xml:space="preserve"> NO Line Tap </t>
  </si>
  <si>
    <t>Allison</t>
  </si>
  <si>
    <t xml:space="preserve"> WG</t>
  </si>
  <si>
    <t>Total Line Miles</t>
  </si>
  <si>
    <t>Line 31 - plant Balance Removed</t>
  </si>
  <si>
    <t>Line 55 - zero plant balance</t>
  </si>
  <si>
    <t>Line 61 - Gallup line taps</t>
  </si>
  <si>
    <t>Allocation of Radial Line O&amp;M</t>
  </si>
  <si>
    <t>Total Radial Lines</t>
  </si>
  <si>
    <t>Direct Assigned</t>
  </si>
  <si>
    <t>Allocated to D.A.</t>
  </si>
  <si>
    <t>Allocated O&amp;M to Radial Lines</t>
  </si>
  <si>
    <t>Allocation of 115kV O&amp;M</t>
  </si>
  <si>
    <t>Allocation of Underbuild O&amp;M</t>
  </si>
  <si>
    <t>Split 75% to Structures</t>
  </si>
  <si>
    <t>Total Structures Maintained by PNM</t>
  </si>
  <si>
    <t>Underbuild Structures</t>
  </si>
  <si>
    <t>Allocate O&amp;M to Underbuild</t>
  </si>
  <si>
    <t>Settlement Adjustments</t>
  </si>
  <si>
    <t>Total Settlement Adjustments</t>
  </si>
  <si>
    <t>Schedule 1C</t>
  </si>
  <si>
    <t>EPRI &amp; EEI Dues</t>
  </si>
  <si>
    <t>Direct Assignment Related A&amp;G</t>
  </si>
  <si>
    <t>Navopache Electric Cooperative Net of WAPA &amp; PD</t>
  </si>
  <si>
    <t>line 109, Attachment H-1</t>
  </si>
  <si>
    <t>line 133, Attachment H-1</t>
  </si>
  <si>
    <t>line 108, Attachment H-1</t>
  </si>
  <si>
    <t>line 102, Attachment H-1</t>
  </si>
  <si>
    <t>line 166, Attachment H-1</t>
  </si>
  <si>
    <t>line 183, Attachment H-1</t>
  </si>
  <si>
    <t>line 173, Attachment H-1</t>
  </si>
  <si>
    <t>line 275, Attachment H-1</t>
  </si>
  <si>
    <t>line 127, Attachment H-1</t>
  </si>
  <si>
    <t>line 31, Schedule 10</t>
  </si>
  <si>
    <t>line 215, Attachment H-1</t>
  </si>
  <si>
    <t>Tax Depreciation Expense</t>
  </si>
  <si>
    <t>Accumulated Tax Depreciation Balance</t>
  </si>
  <si>
    <t>Net Tax Plant Balance</t>
  </si>
  <si>
    <t xml:space="preserve">Actual </t>
  </si>
  <si>
    <t>Adjustment</t>
  </si>
  <si>
    <t>Actual</t>
  </si>
  <si>
    <t>Projected Plant In Service at end of Current Year Adjustment</t>
  </si>
  <si>
    <t>Accumulated Depreciation Projected at end of Current Year Adjustment</t>
  </si>
  <si>
    <t>Accumulated Deferred Income Taxes Projected at end of Current Year Adjustment</t>
  </si>
  <si>
    <t>(line 65 + line 69 + line 71 + line 80 + line 84 + line 86)</t>
  </si>
  <si>
    <t>Page 321, line 84 through line 92, column b</t>
  </si>
  <si>
    <t>(line 95 - line 96 - line 97-line 98)</t>
  </si>
  <si>
    <t>(line 110 * line 111)</t>
  </si>
  <si>
    <t>(line 103)</t>
  </si>
  <si>
    <t>(line 114 * line 115)</t>
  </si>
  <si>
    <t>(line 99 + line 112 + line 116)</t>
  </si>
  <si>
    <t>Projected Plant Depreciation Expense for Current Year Adjustment</t>
  </si>
  <si>
    <t>(sum line 123 through 127)</t>
  </si>
  <si>
    <t>(sum of line 130 through line 133)</t>
  </si>
  <si>
    <t>(line 134 * line 135)</t>
  </si>
  <si>
    <t>(line 128 + line 136)</t>
  </si>
  <si>
    <t>Native American Taxes Allocated to Transmission</t>
  </si>
  <si>
    <t>(sum line 143 through 145)</t>
  </si>
  <si>
    <t>(line 249)</t>
  </si>
  <si>
    <t>(line 246)</t>
  </si>
  <si>
    <t>(line 163 * line 164 * -1)</t>
  </si>
  <si>
    <t>(line 165 + line 166)</t>
  </si>
  <si>
    <t>(line 160 + line 167)</t>
  </si>
  <si>
    <t>(line 172 + line 173)</t>
  </si>
  <si>
    <t>(line 169 + line 174)</t>
  </si>
  <si>
    <t>(line 177 * line 178)</t>
  </si>
  <si>
    <t>(line 173)</t>
  </si>
  <si>
    <t>(sum line 182 through 184)</t>
  </si>
  <si>
    <t>(line 179 + line 185)</t>
  </si>
  <si>
    <t>(line 160)</t>
  </si>
  <si>
    <t>(line 166)</t>
  </si>
  <si>
    <t>Less: EIP Prepaid Tax Reversal</t>
  </si>
  <si>
    <t>(line 183 * -1)</t>
  </si>
  <si>
    <t>(line 187)</t>
  </si>
  <si>
    <t>(sum of line 194 through line 197)</t>
  </si>
  <si>
    <t>(line 191 + line 198)</t>
  </si>
  <si>
    <t>(line 200)</t>
  </si>
  <si>
    <t>(line 203 * line 204)</t>
  </si>
  <si>
    <t>(line 187 + line 206)</t>
  </si>
  <si>
    <t>(line 118 + line 138 + line 147 + line 208)</t>
  </si>
  <si>
    <t>(line 215)</t>
  </si>
  <si>
    <t>(line 221-SUM(line 222: line225)</t>
  </si>
  <si>
    <t>(line 230)</t>
  </si>
  <si>
    <t>(line 222)</t>
  </si>
  <si>
    <t>(line 226)</t>
  </si>
  <si>
    <t>(sum line 233 through 235)</t>
  </si>
  <si>
    <t>(line 233 / line 236)</t>
  </si>
  <si>
    <t>(line 234 / line 236)</t>
  </si>
  <si>
    <t>(line 235 / line 236)</t>
  </si>
  <si>
    <t>(line 215 / line 233)</t>
  </si>
  <si>
    <t>(line 218 / line 234)</t>
  </si>
  <si>
    <t>(line 240 * line 244)</t>
  </si>
  <si>
    <t>(sum line 246 through 248)</t>
  </si>
  <si>
    <t>(line 90 * line 249)</t>
  </si>
  <si>
    <t>(line 118)</t>
  </si>
  <si>
    <t>(line 138)</t>
  </si>
  <si>
    <t>(line 147)</t>
  </si>
  <si>
    <t>(line 208)</t>
  </si>
  <si>
    <t>(line 251)</t>
  </si>
  <si>
    <t>(sum of line 257 through line 262)</t>
  </si>
  <si>
    <t>(line 264)</t>
  </si>
  <si>
    <t>(sum of line 272 through line 275)</t>
  </si>
  <si>
    <t>(line 266 - line 276)</t>
  </si>
  <si>
    <t>(line 280)</t>
  </si>
  <si>
    <t>Note 2 &amp; 3</t>
  </si>
  <si>
    <t>Note 2 &amp; 4</t>
  </si>
  <si>
    <t>Note 7</t>
  </si>
  <si>
    <t>Note 8</t>
  </si>
  <si>
    <t>Note 9</t>
  </si>
  <si>
    <t>Note 10</t>
  </si>
  <si>
    <t>Note 11</t>
  </si>
  <si>
    <t>line 105, Attachment H-1</t>
  </si>
  <si>
    <t>Amount reflects 13-month average balances.</t>
  </si>
  <si>
    <t>Amount reflects the average of beginning of year and end of year balances.</t>
  </si>
  <si>
    <t xml:space="preserve">Schedule 8 will be updated annually to reflect all Deferred Credits and the appropriate allocations to the </t>
  </si>
  <si>
    <t>transmission and non-transmission functions.</t>
  </si>
  <si>
    <t xml:space="preserve">Schedule 8 will be updated annually to reflect all sub-accounts related to Injuries and Damages (Account 242) </t>
  </si>
  <si>
    <t>and the appropriate allocations to the transmission and non-transmission functions.</t>
  </si>
  <si>
    <t>Amount includes all Regulatory Commission Expenses.</t>
  </si>
  <si>
    <t>To be entered as a positive amount.</t>
  </si>
  <si>
    <t>The rate of return on common equity will not change without a filing at FERC under Sections 205 or 206 of the FPA.</t>
  </si>
  <si>
    <t>See Schedule 16 - Rate Design worksheet for allocation of revenue credits applicable only to point-to-point customers.</t>
  </si>
  <si>
    <t>Schedule 1C - Settlement Adjustments</t>
  </si>
  <si>
    <t>({A})</t>
  </si>
  <si>
    <t>Category</t>
  </si>
  <si>
    <t>Page</t>
  </si>
  <si>
    <t>Prior Yr. Col.</t>
  </si>
  <si>
    <t>Curr. Yr. Col.</t>
  </si>
  <si>
    <t>Beginning Balance/Prior Year Amount</t>
  </si>
  <si>
    <t>Adjustments</t>
  </si>
  <si>
    <t>Beginning Balance / Prior Year Amount (Net of Adjustments)</t>
  </si>
  <si>
    <t>Ending Balance/ Current Year Amount</t>
  </si>
  <si>
    <t>Ending Balance/ Current Year Amount (Net of Adjustments)</t>
  </si>
  <si>
    <t>Comments Regarding Adjustments</t>
  </si>
  <si>
    <t>FERC Form 1, 112.3.c</t>
  </si>
  <si>
    <t>Preferred Stock Issued</t>
  </si>
  <si>
    <t>FERC Form 1, 112.12.c</t>
  </si>
  <si>
    <t>Unappropriated Undistributed Sub Earnings</t>
  </si>
  <si>
    <t>FERC Form 1, 112.15.c</t>
  </si>
  <si>
    <t>Accumulated Other Comprehensive Income</t>
  </si>
  <si>
    <t>FERC Form 1, 112.16.c</t>
  </si>
  <si>
    <t>Proprietary Captial</t>
  </si>
  <si>
    <t>FERC Form 1, 112.24.c</t>
  </si>
  <si>
    <t>FERC Form 1, 117.44.c</t>
  </si>
  <si>
    <t>Miscellaneous Amortization</t>
  </si>
  <si>
    <t>FERC Form 1, 117.63.c</t>
  </si>
  <si>
    <t>Amort. Of Debt Disc. And Expense</t>
  </si>
  <si>
    <t>FERC Form 1, 117.64.c</t>
  </si>
  <si>
    <t>Amortization of Loss on Reaquired Debt</t>
  </si>
  <si>
    <t>FERC Form 1, 117.65.c</t>
  </si>
  <si>
    <t>Amort/ of Premium on Debt-Credit</t>
  </si>
  <si>
    <t>FERC Form 1, 117.66.c</t>
  </si>
  <si>
    <t>Amortization of Gain on Reaquired Debt-Credit</t>
  </si>
  <si>
    <t>FERC Form 1, 118.24.c</t>
  </si>
  <si>
    <t>Preferred Dividends-4.58% Cumulative</t>
  </si>
  <si>
    <t>Intangible Depreciation Reserve</t>
  </si>
  <si>
    <t>FERC Form 1, 204-205, 5, (b) &amp; (g)</t>
  </si>
  <si>
    <t xml:space="preserve">Intangible Plant </t>
  </si>
  <si>
    <t>FERC Form 1, 204-205, 46, (b) &amp; (g)</t>
  </si>
  <si>
    <t xml:space="preserve">Production Plant </t>
  </si>
  <si>
    <t>FERC Form 1, 206-207, 58, (b) &amp; (g)</t>
  </si>
  <si>
    <t xml:space="preserve">Transmission Plant </t>
  </si>
  <si>
    <t>FERC Form 1, 206-207, 75, (b) &amp; (g)</t>
  </si>
  <si>
    <t>Distribution Plant</t>
  </si>
  <si>
    <t>FERC Form 1, 206-207, 99, (b) &amp; (g)</t>
  </si>
  <si>
    <t xml:space="preserve">General Plant </t>
  </si>
  <si>
    <t>FERC Form 1, 219.25.b</t>
  </si>
  <si>
    <t>Transmission Depreciation Reserve</t>
  </si>
  <si>
    <t>FERC Form 1, 219.26.b</t>
  </si>
  <si>
    <t>Distribution Depreciation Reserve</t>
  </si>
  <si>
    <t>FERC Form 1, 219.28.b</t>
  </si>
  <si>
    <t>General Depreciation Reserve</t>
  </si>
  <si>
    <t>FERC Form 1, 219.20-24.b</t>
  </si>
  <si>
    <t>Production Depreciation Reserve</t>
  </si>
  <si>
    <t>FERC Form 1, 227.5, 227.9, 227.11, (b) &amp; (c )</t>
  </si>
  <si>
    <t>Materials and Supplies- Other</t>
  </si>
  <si>
    <t>FERC Form 1, 227.7.b, 227.7.c</t>
  </si>
  <si>
    <t>Materials and Supplies- Production</t>
  </si>
  <si>
    <t>FERC Form 1, 227.8.b, 227.8.c</t>
  </si>
  <si>
    <t>Materials and Supplies- Transmission</t>
  </si>
  <si>
    <t>FERC Form 1, 257.33.i</t>
  </si>
  <si>
    <t>Total Long-Term Debt Interest</t>
  </si>
  <si>
    <t>Taxes Accrued-FICA</t>
  </si>
  <si>
    <t>Taxes Accrued-FUTA</t>
  </si>
  <si>
    <t>Taxes Accrued-SUTA</t>
  </si>
  <si>
    <t>Taxes Accrued-Ad Valorem</t>
  </si>
  <si>
    <t>Taxes Accrued-Miscellaneous</t>
  </si>
  <si>
    <t>561.1 Load Dispatch Reliability</t>
  </si>
  <si>
    <t>561.2 Load Dispatch Monitor and Operate Trans System</t>
  </si>
  <si>
    <t>561.3 Load Dispatch Trans Service &amp; Scheduling</t>
  </si>
  <si>
    <t>561.4 Scheduling System Control and Dispatch Services</t>
  </si>
  <si>
    <t>561.5 Reliability Planning</t>
  </si>
  <si>
    <t>561.6 Transmission Service</t>
  </si>
  <si>
    <t>561.7 Generation Interconnect Studies</t>
  </si>
  <si>
    <t xml:space="preserve"> Transmission of Electricity by Others</t>
  </si>
  <si>
    <t>FERC Form 1, 321.112.b</t>
  </si>
  <si>
    <t>Transmission O&amp;M Expense</t>
  </si>
  <si>
    <t>FERC Form 1, 323.185.b</t>
  </si>
  <si>
    <t>Property Insurance</t>
  </si>
  <si>
    <t>FERC Form 1, 323.189.b</t>
  </si>
  <si>
    <t>Regulatory Commission Expense</t>
  </si>
  <si>
    <t>FERC Form 1, 323.197.b</t>
  </si>
  <si>
    <t>A&amp;G Expense</t>
  </si>
  <si>
    <t>FERC Form 1, 336.1.f</t>
  </si>
  <si>
    <t>Depr. &amp; Amort. -Intangible Plant</t>
  </si>
  <si>
    <t>FERC Form 1, 336.7.f</t>
  </si>
  <si>
    <t>Depr. &amp; Amort. -Transmission Plant</t>
  </si>
  <si>
    <t>FERC Form 1, 336.10.f</t>
  </si>
  <si>
    <t>Depr. &amp; Amort. -General Plant</t>
  </si>
  <si>
    <t>FERC Form 1 354.21.b</t>
  </si>
  <si>
    <t>Transmission O&amp;M Labor</t>
  </si>
  <si>
    <t>FERC Form 1 354.27.b</t>
  </si>
  <si>
    <t>A&amp;G Labor</t>
  </si>
  <si>
    <t>FERC Form 1 354.28.b</t>
  </si>
  <si>
    <t>Total Oper. And Maint.</t>
  </si>
  <si>
    <t>For Rates in Effect</t>
  </si>
  <si>
    <t>FERC Form 1, 321.85.b</t>
  </si>
  <si>
    <t>FERC Form 1, 321.86.b</t>
  </si>
  <si>
    <t>FERC Form 1, 321.87.b</t>
  </si>
  <si>
    <t>FERC Form 1, 321.88.b</t>
  </si>
  <si>
    <t>FERC Form 1, 321.89.b</t>
  </si>
  <si>
    <t>FERC Form 1, 321.90.b</t>
  </si>
  <si>
    <t>FERC Form 1, 321.91.b</t>
  </si>
  <si>
    <t>FERC Form 1, 321.96.b</t>
  </si>
  <si>
    <t>FERC Form 1 data from Year/Period of Report:</t>
  </si>
  <si>
    <t>Renewable Investment Tax Credit Amortization</t>
  </si>
  <si>
    <t>FERC 403 Depreciation Expense</t>
  </si>
  <si>
    <t>FERC 404 Amortization Expense</t>
  </si>
  <si>
    <t>FERC 408 Taxes other than income</t>
  </si>
  <si>
    <t>FERC 418 Nonoperating rental income</t>
  </si>
  <si>
    <t>FERC 426 Other deductions</t>
  </si>
  <si>
    <t>FERC 427 Interest on long term debt</t>
  </si>
  <si>
    <t>Summary</t>
  </si>
  <si>
    <t>Firm Requirements Allocation for third Party transmission-including NEC</t>
  </si>
  <si>
    <t>Firm Requirements Allocation for third Party transmission-excluding NEC</t>
  </si>
  <si>
    <t>Third Party Transmission Allocator 1</t>
  </si>
  <si>
    <t>Third Party Transmission Allocator 2</t>
  </si>
  <si>
    <t>Total Projected Net Plant In Service</t>
  </si>
  <si>
    <t>AFUDC Debt (Based on average AFUDC rate from 6/1/11-8/1/13)</t>
  </si>
  <si>
    <t>AFUDC Equity (Based on average AFUDC rate from 6/1/11-8/1/13)</t>
  </si>
  <si>
    <t>Schedule 6 (Reserved for Future Use)</t>
  </si>
  <si>
    <t>Transmission Related Prepayments reflect one-half of the balance of the annual payment made for the Navajo Right of Way.</t>
  </si>
  <si>
    <t>Point to Point Transmission Service Rates</t>
  </si>
  <si>
    <t>Design for Point to Point Transmission Service Rates</t>
  </si>
  <si>
    <t>Real Power Loss Rate</t>
  </si>
  <si>
    <t>Jicarilla Apache Nation</t>
  </si>
  <si>
    <t>Jicarilla Net peak</t>
  </si>
  <si>
    <t>Page 232, line 8, column b</t>
  </si>
  <si>
    <t>Page 111, line 72, column c</t>
  </si>
  <si>
    <t>Page 232, line 9, column b</t>
  </si>
  <si>
    <t>Page 232, line 9, column f</t>
  </si>
  <si>
    <t>(line 49+line 58)</t>
  </si>
  <si>
    <t>Note 2:  Transmission Related Other tax Items agrees to line 145, Attachment H-1.</t>
  </si>
  <si>
    <t>Schedule 13-A Detail</t>
  </si>
  <si>
    <t>NA</t>
  </si>
  <si>
    <t>Page 232, line 8, column f</t>
  </si>
  <si>
    <t>Page 233, line 1, column b</t>
  </si>
  <si>
    <t>Page 233, line 2, column b</t>
  </si>
  <si>
    <t>Page 233, line 2, column f</t>
  </si>
  <si>
    <t>Page 233, line 1, column f</t>
  </si>
  <si>
    <t>SJGS Restructuring</t>
  </si>
  <si>
    <t>Cost Recovery</t>
  </si>
  <si>
    <t>page 350, line 8, column d</t>
  </si>
  <si>
    <t>Broadview BKW</t>
  </si>
  <si>
    <t>Palo Verde Lease Expenses</t>
  </si>
  <si>
    <t>Average Plant Balance 2015</t>
  </si>
  <si>
    <t>Allocation to Jicarilla</t>
  </si>
  <si>
    <t>Annual Charge to Pro Rate Monthly to Jicarilla</t>
  </si>
  <si>
    <t>(line 44 + line 45)</t>
  </si>
  <si>
    <t>(line 48 * allocation % on line 44)</t>
  </si>
  <si>
    <t>(line 50 + line 51)</t>
  </si>
  <si>
    <t>(line 51)</t>
  </si>
  <si>
    <t>(line 60 + line 61)</t>
  </si>
  <si>
    <t>(line 57 + line 62)</t>
  </si>
  <si>
    <t>(line 32 * allocation % on line 62)</t>
  </si>
  <si>
    <t>(line 32 - line 66)</t>
  </si>
  <si>
    <t>(line 68 + line 69)</t>
  </si>
  <si>
    <t>(line 77 * 12)</t>
  </si>
  <si>
    <t>(line 70 / line 98 / 1000)</t>
  </si>
  <si>
    <t>(line 75 / 52)</t>
  </si>
  <si>
    <t>(line 79 / 6)</t>
  </si>
  <si>
    <t>(line 81 / 16)</t>
  </si>
  <si>
    <t>Line 77</t>
  </si>
  <si>
    <t>line 97, Rate Design sheet</t>
  </si>
  <si>
    <t>FERC Form 1, 233.7.f</t>
  </si>
  <si>
    <t>Kit Karson Electric Coop</t>
  </si>
  <si>
    <t>Broadview JN</t>
  </si>
  <si>
    <t>El Cabo - Clines Corners</t>
  </si>
  <si>
    <t>The depreciation rates will not change without a filing at FERC under Sections 205 or 206 of the FPA. The current depreciation rates are shown in Attachment H-7 of the PNM OATT.</t>
  </si>
  <si>
    <t>page 350, line 9, column d</t>
  </si>
  <si>
    <t>Attachment H-7</t>
  </si>
  <si>
    <t xml:space="preserve">Coal Mine Decommissioning  </t>
  </si>
  <si>
    <t>Fuel Clause</t>
  </si>
  <si>
    <t>Directors Fees &amp; Expenses</t>
  </si>
  <si>
    <t>(allocation % = line 44 / line 46)</t>
  </si>
  <si>
    <t>(allocation % = line 45 / line 46)</t>
  </si>
  <si>
    <t>line 98, Rate Design sheet</t>
  </si>
  <si>
    <t>Form 1, p 332, line 2, column e</t>
  </si>
  <si>
    <t>Form 1, p 332, line 7, column e</t>
  </si>
  <si>
    <t>Miscellaneous</t>
  </si>
  <si>
    <t>page 350, line 11, column d</t>
  </si>
  <si>
    <t>Grady</t>
  </si>
  <si>
    <t>PV Lease Accrual (242050)</t>
  </si>
  <si>
    <t>Excess Payroll Tax Reversal</t>
  </si>
  <si>
    <t>NOL Valuation Allowance</t>
  </si>
  <si>
    <t>IRS Required Proration</t>
  </si>
  <si>
    <t>Remove ROU Asset</t>
  </si>
  <si>
    <t>Remove Right of Use Asset</t>
  </si>
  <si>
    <t>Page 269, line 3,4 column b</t>
  </si>
  <si>
    <t>Page 269, line 9, column b</t>
  </si>
  <si>
    <t>Page 269, line 3,4, column f</t>
  </si>
  <si>
    <t>Page 269, line 9, column f</t>
  </si>
  <si>
    <t>Page 269, line 10, column f</t>
  </si>
  <si>
    <t xml:space="preserve">Navajo Workforce Training </t>
  </si>
  <si>
    <t xml:space="preserve">FIN 48 Tax Liability </t>
  </si>
  <si>
    <t xml:space="preserve">Customer Deposits </t>
  </si>
  <si>
    <t xml:space="preserve">FERC 431 Other Interest Expense </t>
  </si>
  <si>
    <t>FERC 421 Misc Nonoperating Income</t>
  </si>
  <si>
    <t>(line 158 * line 159)</t>
  </si>
  <si>
    <t xml:space="preserve">Account 570 - Maintenance of Station Equipment </t>
  </si>
  <si>
    <t>page 350, line 10, column d</t>
  </si>
  <si>
    <t xml:space="preserve">Allocated on Net Plant </t>
  </si>
  <si>
    <t>Schedule 14 - ADIT Worksheet (pursuant to FERC Order No. 864)</t>
  </si>
  <si>
    <t>See Note 3</t>
  </si>
  <si>
    <t>See Note 5</t>
  </si>
  <si>
    <t>See Notes 1, 7</t>
  </si>
  <si>
    <t>See Notes 2, 7</t>
  </si>
  <si>
    <t>See Note 4</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</si>
  <si>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</si>
  <si>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</si>
  <si>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</si>
  <si>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</si>
  <si>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</si>
  <si>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</si>
  <si>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</si>
  <si>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</si>
  <si>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</si>
  <si>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</si>
  <si>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</si>
  <si>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</si>
  <si>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</si>
  <si>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</si>
  <si>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</si>
  <si>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</si>
  <si>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</si>
  <si>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</si>
  <si>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</si>
  <si>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</si>
  <si>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</si>
  <si>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</si>
  <si>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</si>
  <si>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</si>
  <si>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</si>
  <si>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</si>
  <si>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</si>
  <si>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</si>
  <si>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</si>
  <si>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</si>
  <si>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</si>
  <si>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</si>
  <si>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Originating Law</t>
  </si>
  <si>
    <t>Protected/
Unprotected</t>
  </si>
  <si>
    <t>Amortization
Period</t>
  </si>
  <si>
    <t>Remeasurement
Date</t>
  </si>
  <si>
    <t>Prior Tax Rate</t>
  </si>
  <si>
    <t>New Tax Rate</t>
  </si>
  <si>
    <t>Gross-up
Rate</t>
  </si>
  <si>
    <t>Remeasurement Accounting</t>
  </si>
  <si>
    <t>Amortization</t>
  </si>
  <si>
    <t>Allocation to Transmission</t>
  </si>
  <si>
    <t>Federal</t>
  </si>
  <si>
    <t>State</t>
  </si>
  <si>
    <t>Local</t>
  </si>
  <si>
    <t>At Prior Rate</t>
  </si>
  <si>
    <t>At New Rate</t>
  </si>
  <si>
    <t>(Excess)/Deficient</t>
  </si>
  <si>
    <t>182.3</t>
  </si>
  <si>
    <t>190</t>
  </si>
  <si>
    <t>254</t>
  </si>
  <si>
    <t>282</t>
  </si>
  <si>
    <t>283</t>
  </si>
  <si>
    <t>Beginning Balance</t>
  </si>
  <si>
    <t>Current Amort.
Account 410.1</t>
  </si>
  <si>
    <t>Current Amort.
Account 410.2</t>
  </si>
  <si>
    <t>Current Amort.
Account 411.1</t>
  </si>
  <si>
    <t>Note</t>
  </si>
  <si>
    <t>Ending
Balance</t>
  </si>
  <si>
    <t>Allocator</t>
  </si>
  <si>
    <t>Transmission
Allocation %</t>
  </si>
  <si>
    <t>Current Transmission
Activity</t>
  </si>
  <si>
    <t>Account 190</t>
  </si>
  <si>
    <t>TCJA 2017</t>
  </si>
  <si>
    <t>Unprotected Excess ADIT</t>
  </si>
  <si>
    <t>Unprotected</t>
  </si>
  <si>
    <t>Account 190 subtotal</t>
  </si>
  <si>
    <t>Account 282</t>
  </si>
  <si>
    <t>Protected</t>
  </si>
  <si>
    <t>Account 282 subtotal</t>
  </si>
  <si>
    <t>Account 283</t>
  </si>
  <si>
    <t>Account 283 subtotal</t>
  </si>
  <si>
    <t>TCJA 2017 TOTAL</t>
  </si>
  <si>
    <t>NM 2017</t>
  </si>
  <si>
    <t>NM 2017 TOTAL</t>
  </si>
  <si>
    <t>TOTAL</t>
  </si>
  <si>
    <t>NOTES</t>
  </si>
  <si>
    <t>Pursuant to FERC Order No. 864, the following is included in columns (m) through (o):  How any ADIT accounts were re-measured and the excess or deficient ADIT contained therein.</t>
  </si>
  <si>
    <t>Column (m) represents ADIT as recorded at prior tax rate(s), Column (n) represents ADIT as recorded at new tax rate, and Column (o) represents the difference, which is the (excess) or deficient ADIT before any gross-up.</t>
  </si>
  <si>
    <t>Pursuant to FERC Order No. 864, the following is included in column (d):  Whether the excess or deficient ADIT is protected or unprotected.</t>
  </si>
  <si>
    <t>Pursuant to FERC Order No. 864, the following is included in columns (w), (x) and (y):  The accounts to which the excess or deficient ADIT are amortized.</t>
  </si>
  <si>
    <t>Pursuant to FERC Order No. 864, the following is included in column (e):  The amortization period of the excess or deficient ADIT being returned or recovered through the rates.</t>
  </si>
  <si>
    <t>The allocation to Transmission is calculated based on the Transmission percentage of total ADIT as of the date for which the excess ADIT was established in the Formula.</t>
  </si>
  <si>
    <t>The remeasured balances and amortization include adjustments through the 2017 income tax return.</t>
  </si>
  <si>
    <t>Total Adjusted Plant in Service</t>
  </si>
  <si>
    <t>Federal Tax Factor (Rate/1-Rate)</t>
  </si>
  <si>
    <t>ADIT - Liberalized Depreciation Transmission</t>
  </si>
  <si>
    <t>Schedule 2 - ADIT, column e, sum of lines 32, 42 and 47</t>
  </si>
  <si>
    <t>Accumulated Deferred Income Tax Calculation, Projected Projects</t>
  </si>
  <si>
    <t>Accumulated Deferred Income Tax Adjustment, Projected Projects</t>
  </si>
  <si>
    <t>Under "Accumulated Deferred Income Tax Calculation, projected" the 25.40% combined income tax rate is calculated as follows   (5.90%/(1+5.9%))+(21.0%-(21.0%*(5.90%/(1+5.9%)))). Whereas 5.9% equals the NM statutory income tax rate and 21% equals the Federal statutory income tax rate</t>
  </si>
  <si>
    <t>First-year tax depr. rate for transmission</t>
  </si>
  <si>
    <t>Adjustment for IRS Proration (Run 2 Only)</t>
  </si>
  <si>
    <t>The "Calculation of Tax Depreciation Expense on Projected Projects" utilizes the first year depreciation rate under the 15-year MACRS of 5.0%.</t>
  </si>
  <si>
    <t>Federal tax rate - to reflect the current tax rate in effect at date of posting</t>
  </si>
  <si>
    <t>State tax rate - to reflect the current tax rate in effect at date of posting</t>
  </si>
  <si>
    <t>Composite State tax rate - Calculated based on State and Federal tax rates in Note 8</t>
  </si>
  <si>
    <t>Run 1, Schedule 1B - Projected Plant, Line 73</t>
  </si>
  <si>
    <t>For use in Run 2 only</t>
  </si>
  <si>
    <t>Removal ARC Asset</t>
  </si>
  <si>
    <t>Investment Collected Through Incremental Rates</t>
  </si>
  <si>
    <t>pages 204 &amp; 205, lines 15, 24, 34, 44, 
columns b &amp; g</t>
  </si>
  <si>
    <t>pages 206 &amp; 207, line 98, 
columns b &amp; g</t>
  </si>
  <si>
    <t>pages 206 &amp; 207, line 57, 
columns b &amp; g</t>
  </si>
  <si>
    <t>Adjusted to remove depreciation on General ARC Asset. Adjustment based on company records.</t>
  </si>
  <si>
    <t>For Run 1 (i.e. projection), PNM shall reflect the current tax rate in effect at the date of its posting. For Run 2 (i.e. true-up),  PNM shall either (i) reflect the current tax rate in effect at the date of its posting or (ii) to the extent the tax rates change during a calendar year, the average tax rate will be used.  The average tax rate will be computed based on the number of days each tax rate was effective during the calendar year.</t>
  </si>
  <si>
    <t>High Lonesome Mesa</t>
  </si>
  <si>
    <t>B&amp;B Aragonne Mesa</t>
  </si>
  <si>
    <t>Page 234 detail, Line 3</t>
  </si>
  <si>
    <t>Footnote to Page 276, Line 7f</t>
  </si>
  <si>
    <t>Schedule 14</t>
  </si>
  <si>
    <t>Total Accumulated Deferred Income Taxes Including Regulatory Asset or Liability for Deficient or Excess ADIT</t>
  </si>
  <si>
    <t>Excess Deferred Tax Reversal 1986</t>
  </si>
  <si>
    <t>Deficient or Excess ADIT Reversal</t>
  </si>
  <si>
    <t>Source of Deficient or Excess ADIT</t>
  </si>
  <si>
    <t>Unprotected Deficient ADIT</t>
  </si>
  <si>
    <t>Current Amort. Account 411.2</t>
  </si>
  <si>
    <t>(ag)</t>
  </si>
  <si>
    <t>Deficient/(Excess) ADIT</t>
  </si>
  <si>
    <t>Current Activity</t>
  </si>
  <si>
    <t>Ending Balance</t>
  </si>
  <si>
    <t>Average Balance</t>
  </si>
  <si>
    <t>(ah)</t>
  </si>
  <si>
    <t>(ai)</t>
  </si>
  <si>
    <t>(aj)</t>
  </si>
  <si>
    <t>(ak)</t>
  </si>
  <si>
    <t>Transmission
Average Excess ADIT Balance</t>
  </si>
  <si>
    <t>Page 269, line 7 column f</t>
  </si>
  <si>
    <t>Page 269, line 8, column f</t>
  </si>
  <si>
    <t>Page 269, line 7, column b</t>
  </si>
  <si>
    <t>Page 269, line 8, column b</t>
  </si>
  <si>
    <t>Page 269, line 11, column b</t>
  </si>
  <si>
    <t>line 96, Rate Design sheet</t>
  </si>
  <si>
    <t>Right of Way</t>
  </si>
  <si>
    <t>Grady (GWEC) (Service Agreement 479)</t>
  </si>
  <si>
    <t>Grady (GWEC) (Service Agreement 473)</t>
  </si>
  <si>
    <t>El Cabo (PPMI) (Service Agreement 488)</t>
  </si>
  <si>
    <t>El Cabo (PPMI) (Service Agreement 489)</t>
  </si>
  <si>
    <t>El Cabo (PPMI) (Service Agreement 492)</t>
  </si>
  <si>
    <t>El Cabo (PPMI) (Service Agreement )</t>
  </si>
  <si>
    <t>Broadview (BEJN)  (Service Agreement 474)</t>
  </si>
  <si>
    <t>Broadview (BEJN)  (Service Agreement 408)</t>
  </si>
  <si>
    <t>Broadview (BEKW) (Service Agreement 418)</t>
  </si>
  <si>
    <t>Tri-State - Hidalgo-Greenlee (Service Agreement 278)</t>
  </si>
  <si>
    <t>Aragonne Wind (Service Agreement 409)</t>
  </si>
  <si>
    <t>Aragonne Wind (Service Agreement 410)</t>
  </si>
  <si>
    <t>Aragonne Wind (Service Agreement 412)</t>
  </si>
  <si>
    <t>EPE (Service Agreement 241) FC-WM</t>
  </si>
  <si>
    <t>EPE (Service Agreement 407) FC-WM</t>
  </si>
  <si>
    <t>High Lonesome Mesa (Service Agreement 334)</t>
  </si>
  <si>
    <t>RCW</t>
  </si>
  <si>
    <t>TLW</t>
  </si>
  <si>
    <t>DMW</t>
  </si>
  <si>
    <t>CCWF</t>
  </si>
  <si>
    <t>Total Incremental Priced Service</t>
  </si>
  <si>
    <t>line 95, Rate Design sheet</t>
  </si>
  <si>
    <t>line 90, Rate Design sheet</t>
  </si>
  <si>
    <t>line 93, Rate Design sheet</t>
  </si>
  <si>
    <t>line 55, Rate Design sheet</t>
  </si>
  <si>
    <t>line 48, Rate Design sheet</t>
  </si>
  <si>
    <t>line 61, Rate Design sheet</t>
  </si>
  <si>
    <t>(line 48 * allocation % on line 45)</t>
  </si>
  <si>
    <t>Pueblo of Acoma</t>
  </si>
  <si>
    <t>Page 232, line 20, column f</t>
  </si>
  <si>
    <t>ETA Related Assets 19-00018-UT</t>
  </si>
  <si>
    <t>Page 232, line 20, column b</t>
  </si>
  <si>
    <t>Page 323, line 189, column b</t>
  </si>
  <si>
    <t>ADIT on Schedule 8 ROW Liability</t>
  </si>
  <si>
    <t>ADIT Remeasurement
DR/(CR)</t>
  </si>
  <si>
    <t>line 92, Rate Design sheet</t>
  </si>
  <si>
    <t>Line 104 plus Line 105</t>
  </si>
  <si>
    <t>page 233, line 9, column F</t>
  </si>
  <si>
    <t>Commitment Fees</t>
  </si>
  <si>
    <t>Writeoff Palomas Substation</t>
  </si>
  <si>
    <t>Writeoff Rate Case</t>
  </si>
  <si>
    <t>Writeoff Account Clean Up</t>
  </si>
  <si>
    <t>Legal Reserves</t>
  </si>
  <si>
    <t>NMPRC Case Expense</t>
  </si>
  <si>
    <t>Electric Credit Basis Difference</t>
  </si>
  <si>
    <t>Electric Vehicle Credit</t>
  </si>
  <si>
    <t>San Juan Units 2 &amp; 3 Stranded Costs 13-00390-UT</t>
  </si>
  <si>
    <t>EIM Costs 18-00261-UT</t>
  </si>
  <si>
    <t>Solar Direct 19-00058-UT</t>
  </si>
  <si>
    <t>SJGS External Legal Expenses</t>
  </si>
  <si>
    <t>COVID-19 Incremental Costs 20-00069-UT</t>
  </si>
  <si>
    <t>Transportation Electrification 20-00237-UT</t>
  </si>
  <si>
    <t>Page 232, line 12, column b</t>
  </si>
  <si>
    <t>Page 232, line 19, column b</t>
  </si>
  <si>
    <t>Page 232, line 21, column b</t>
  </si>
  <si>
    <t>Page 232, line 12, column f</t>
  </si>
  <si>
    <t>Page 232, line 19, column f</t>
  </si>
  <si>
    <t>Page 232, line 21, column f</t>
  </si>
  <si>
    <t>Four Corners CSA Advanced Exit Payment</t>
  </si>
  <si>
    <t>Page 233, line 8, column b</t>
  </si>
  <si>
    <t>Western Spirit Contract Asset</t>
  </si>
  <si>
    <t>Page 233, line 8, column f</t>
  </si>
  <si>
    <t>2/29/2021</t>
  </si>
  <si>
    <t>Aragonne Wind</t>
  </si>
  <si>
    <t>Cell N24</t>
  </si>
  <si>
    <t>Cell N30</t>
  </si>
  <si>
    <t>Cell N50</t>
  </si>
  <si>
    <t>line 88, Rate Design sheet</t>
  </si>
  <si>
    <t>line 282, Attachment H-1</t>
  </si>
  <si>
    <t>Footnote to page 257</t>
  </si>
  <si>
    <t>page 350, line 12, column d</t>
  </si>
  <si>
    <t>Page 234 detail, Lines 7, 8, &amp; 16</t>
  </si>
  <si>
    <t>Page 234 detail, Line 22</t>
  </si>
  <si>
    <t>Page 234 detail, Line 21</t>
  </si>
  <si>
    <t>Footnote to Page 276, Line 7e</t>
  </si>
  <si>
    <t>Pages 276 &amp; 277, Line 7, Columns (b) &amp;(k)</t>
  </si>
  <si>
    <t>Depreciation-Related Net Operating Loss</t>
  </si>
  <si>
    <t>Deficient ADIT - Plant Alloc</t>
  </si>
  <si>
    <t>Deficient ADIT - Wages and Salaries Alloc</t>
  </si>
  <si>
    <t>Deficient ADIT - Other</t>
  </si>
  <si>
    <t>Corporate Allocation and Direct Assignment</t>
  </si>
  <si>
    <t>Depreciation - Corporate Allocation</t>
  </si>
  <si>
    <t>Depreciation - Direct Assignment</t>
  </si>
  <si>
    <t>Excess ADIT - Plant Alloc</t>
  </si>
  <si>
    <t>Excess ADIT - Wages and Salaries Alloc</t>
  </si>
  <si>
    <t>Excess ADIT - Prepaids Alloc</t>
  </si>
  <si>
    <t>Excess ADIT - Other</t>
  </si>
  <si>
    <t>Pursuant to FERC Order No. 864, the following is included in columns (q) through (u): The accounting for any excess or deficient amounts in Accounts 182.3 (Other Regulatory Assets) and 254 (Other Regulatory Liabilities)</t>
  </si>
  <si>
    <t xml:space="preserve">Protected excess or deficient ADIT is governed by the IRS normalization rules.  In general, normalization is a system of accounting used by regulated public
utilities to reconcile the tax treatment of accelerated depreciation of public utility assets
with their regulatory treatment. </t>
  </si>
  <si>
    <t>Under normalization, a utility receives the tax benefit of
accelerated depreciation in the early years of an asset’s regulatory useful life and
passes that benefit through to ratepayers ratably over the regulatory useful life of the
asset in the form of reduced rates.</t>
  </si>
  <si>
    <t>ADIT Gross Up on Regulatory Asset or Liability for Deficient or Excess ADIT</t>
  </si>
  <si>
    <t>See Note 8</t>
  </si>
  <si>
    <t>The transmission allocator for excess or deficient ADIT shall be computed as follows for each income tax rate change:</t>
  </si>
  <si>
    <t>1.  Exclusive of the Exceptions below, for each ADIT line item on Schedule 2 - ADIT, the ending balance for the year in which the rate change is enacted shall be multiplied by the Transmission Allocator (Schedule 2, col. G) for that line item to arrive at a Transmission Year-End ADIT Balance.</t>
  </si>
  <si>
    <t>2.  All Transmission Year-End ADIT Balances calculated in step 1 shall be summed to arrive at a Total Transmission Year-End ADIT Balance.</t>
  </si>
  <si>
    <t>3.  Exclusive of the Exceptions below, for each ADIT line item on Schedule 2 - ADIT, the ending balance for the year in which the rate change is enacted shall be summed to arrive at a Total Company Year-End ADIT Balance.</t>
  </si>
  <si>
    <t>4.  The Total Transmission Year-End ADIT Balance calculated in step 2 shall be divided by the Total Company Year-End ADIT Balance calculated in step 3 to arrive at a transmission percentage, which represents a weighted average allocator.</t>
  </si>
  <si>
    <t>5.  The allocator calculated in step 4 shall be applied in column (ai) to all excess or deficient ADIT lines for the associated income tax rate change.</t>
  </si>
  <si>
    <t>Exceptions:</t>
  </si>
  <si>
    <t>Line items for which no excess or deficient ADIT would result from the tax rate change shall be excluded from the calculation.  Examples include 100% tax items such as tax credit carryforwards, and also the Regulatory Asset or Liability for Deficient or Excess ADIT and its related Gross Up.</t>
  </si>
  <si>
    <t>The average rate assumption method ("ARAM") is required for protected excess ADIT, which is subject to the normalization requirements of the IRS. For unprotected ADIT, PNM has used straight-line amortization consistent with periods used in the other jurisdiction(s) where PNM operates and approved in NM PRC Case No. 16-00276-UT.  PNM will update the Case No. as necessary to the approved retail rate.</t>
  </si>
  <si>
    <t>pages 206 &amp; 207, line 75, 
columns b &amp; g</t>
  </si>
  <si>
    <t>(line 38 + line 39 + line 40 + Line 41)</t>
  </si>
  <si>
    <t>Footnote to Page 276, Line 7g</t>
  </si>
  <si>
    <t>2023 Settlement Method</t>
  </si>
  <si>
    <t>d</t>
  </si>
  <si>
    <t>c</t>
  </si>
  <si>
    <t>na</t>
  </si>
  <si>
    <t>b</t>
  </si>
  <si>
    <t>204-205</t>
  </si>
  <si>
    <t>g</t>
  </si>
  <si>
    <t>206-207</t>
  </si>
  <si>
    <t>20-24</t>
  </si>
  <si>
    <t>5,9,11</t>
  </si>
  <si>
    <t>f</t>
  </si>
  <si>
    <t>m</t>
  </si>
  <si>
    <t>Form 1 References to Categories are subject to change due to FERC Form 1 formatting.  If applicable, PNM will identify such changes in the Comments Regarding Adjustments Column.</t>
  </si>
  <si>
    <t>Line 126, Attachment H-1</t>
  </si>
  <si>
    <t>Form 1 References to Categories are subject to change due to FERC Form 1 formatting.  If applicable, PNM will identify such changes in the Comments Regarding Notes Column.</t>
  </si>
  <si>
    <t xml:space="preserve">Note:  Columns A - Columns S reflect FERC Form No. 1 Page 328 -330 line item detail.  Columns T through AE, reflect the allocation of revenues to identify applicable revenue credits for inclusion in Attachment H-1 and Rate Design worksheets. </t>
  </si>
  <si>
    <t>PNM shall add new columns for any new revenue streams in a given year.</t>
  </si>
  <si>
    <t>FERC Form 1, 200.21.c</t>
  </si>
  <si>
    <t>Line items will be added to, or removed from, this schedule to reflect changes in Excess ADIT. New tax rate changes shall be added below Line 54.</t>
  </si>
  <si>
    <t>WAPA rate [1], [2]</t>
  </si>
  <si>
    <t>Less service credit [3]</t>
  </si>
  <si>
    <t>[2] Revenue billing units are 91 MW for April - September, 107 MW October - March</t>
  </si>
  <si>
    <t>[3] Service credit is included in Section 8 of P0695</t>
  </si>
  <si>
    <t>Peak Date</t>
  </si>
  <si>
    <t>Peak Time</t>
  </si>
  <si>
    <t>page 263, line 42, column L</t>
  </si>
  <si>
    <t>l</t>
  </si>
  <si>
    <t>FERC Form 1, 263.l</t>
  </si>
  <si>
    <t>Not used</t>
  </si>
  <si>
    <t>Form 1, p 332, line 3, column e</t>
  </si>
  <si>
    <t>Form 1, p 332, line 6, column e</t>
  </si>
  <si>
    <t>Form 1, p 332, line 12, column e</t>
  </si>
  <si>
    <t>ER24-1640-000</t>
  </si>
  <si>
    <t>page 350, line 13, column d</t>
  </si>
  <si>
    <t>Solar Direct</t>
  </si>
  <si>
    <t>Page 269, line 10, column b</t>
  </si>
  <si>
    <t>Project Work (242015)</t>
  </si>
  <si>
    <t>Page 232, line 11, column b</t>
  </si>
  <si>
    <t>Page 232, line 18, column b</t>
  </si>
  <si>
    <t>MTM Jurisdictional Hedging 19-00187-UT</t>
  </si>
  <si>
    <t>SJ County Ordinance Full Decommissioning 22-00270-UT</t>
  </si>
  <si>
    <t>ETA Carrying Chargees 22-00270-UT</t>
  </si>
  <si>
    <t>Page 232, line 11, column f</t>
  </si>
  <si>
    <t>Page 232, line 18, column f</t>
  </si>
  <si>
    <t>PVNGS Unit 1 Undepreciated Investment 21-00083-UT</t>
  </si>
  <si>
    <t>PVNGS SRP Over-Under 21-00083-UT</t>
  </si>
  <si>
    <t>PVNGS Unit 1 Undepreciated Investment - 22-00270-UT</t>
  </si>
  <si>
    <t>Rate Case Expenses 22-00270-UT</t>
  </si>
  <si>
    <t>PVNGS Replacement Resources 22-00270-UT</t>
  </si>
  <si>
    <t>UG Rate Rider 22-00276-UT</t>
  </si>
  <si>
    <t>Page 232, line 4, column f</t>
  </si>
  <si>
    <t>Renewable Rider</t>
  </si>
  <si>
    <t>December 2023</t>
  </si>
  <si>
    <t>2023 Avg Net Plant</t>
  </si>
  <si>
    <t>Guzman Energy LLC</t>
  </si>
  <si>
    <t>SRP</t>
  </si>
  <si>
    <t>*** December 2023 Balance of PNMR Services Company, included above</t>
  </si>
  <si>
    <t>Excess ADIT Depreciation - 100% Transmission</t>
  </si>
  <si>
    <t>Excess ADIT Basis Diff - 100% Transmission</t>
  </si>
  <si>
    <t>Excess ADIT - Non Depr Settlement Alloc</t>
  </si>
  <si>
    <t>Excess ADIT - Non Transmission</t>
  </si>
  <si>
    <t>page 263, line 21, 22 &amp; 23, column L</t>
  </si>
  <si>
    <t>page 263, line 19, column L</t>
  </si>
  <si>
    <t xml:space="preserve">page 263, line 16, column L </t>
  </si>
  <si>
    <t>page 263, lines 6 &amp; 7, column L</t>
  </si>
  <si>
    <t>21-23</t>
  </si>
  <si>
    <t>328 - 330</t>
  </si>
  <si>
    <t>Composite Allocation Factor</t>
  </si>
  <si>
    <t>Current PBOP expense - 2024</t>
  </si>
  <si>
    <t>2025 PBOP expense</t>
  </si>
  <si>
    <t>ER25-1866-000</t>
  </si>
  <si>
    <t>Note 6:  Pursuant to FERC requirements, PNM is adjusting the PBOP expense per filing ER25-1866-000</t>
  </si>
  <si>
    <t>page 350, line 14, column d</t>
  </si>
  <si>
    <t>page 350, line 15, column d</t>
  </si>
  <si>
    <t>Transportation Electrification</t>
  </si>
  <si>
    <t>Page 233, line 11, column b</t>
  </si>
  <si>
    <t>Page 233, line 47, column b</t>
  </si>
  <si>
    <t>Page 233, line 7, column b</t>
  </si>
  <si>
    <t>Page 233, line 11, column f</t>
  </si>
  <si>
    <t>Page 233, line 47, column f</t>
  </si>
  <si>
    <t>Page 233, line 7, column f</t>
  </si>
  <si>
    <t>Page 233, lines 6, 9, 10 column b</t>
  </si>
  <si>
    <t>Page 233, lines 5, 6, 9, 10 column f</t>
  </si>
  <si>
    <t>Page 269, line 11, column f</t>
  </si>
  <si>
    <t>2000</t>
  </si>
  <si>
    <t>1900</t>
  </si>
  <si>
    <t>1800</t>
  </si>
  <si>
    <t>1700</t>
  </si>
  <si>
    <t>Form 1, p 332, line 8, column e</t>
  </si>
  <si>
    <t>94 MW Afton to Springerville</t>
  </si>
  <si>
    <t>Form 1, p 332, line 9, column e</t>
  </si>
  <si>
    <t>Form 1, p 332, line 20, column e</t>
  </si>
  <si>
    <t>Page 232, line 4, column b</t>
  </si>
  <si>
    <t>Page 232, lines 5, 15, 22, 23 column b</t>
  </si>
  <si>
    <t>Page 232, line 10, column b</t>
  </si>
  <si>
    <t>Page 232, line 13, column b</t>
  </si>
  <si>
    <t>Page 232, line 24, column b</t>
  </si>
  <si>
    <t>Page 232, line 14, column b</t>
  </si>
  <si>
    <t>Page 232, line 16, column b</t>
  </si>
  <si>
    <t>Page 232, line 17, column b</t>
  </si>
  <si>
    <t>Page 232, lines 5, 15, 22, 23 column f</t>
  </si>
  <si>
    <t>Page 232, line 10, column f</t>
  </si>
  <si>
    <t>Page 232, line 13, column f</t>
  </si>
  <si>
    <t>Page 232, line 24, column f</t>
  </si>
  <si>
    <t>Page 232, line 14, column f</t>
  </si>
  <si>
    <t>Page 232, line 16, column f</t>
  </si>
  <si>
    <t>Page 232, line 17, column f</t>
  </si>
  <si>
    <t>Community Solar Initial Startup Cost 23-00071-UT</t>
  </si>
  <si>
    <t>Page 232, line 26, column f</t>
  </si>
  <si>
    <t>PVNGS Undepreciated Investments - 22-00270-UT</t>
  </si>
  <si>
    <t>Page 232, line 25, column f</t>
  </si>
  <si>
    <t>TOD Rate Pilot Program 22-0270-UT</t>
  </si>
  <si>
    <t>[1] The OATT monthly firm transmission rate for 2024 is $3.34/Kw for Jan-May and $3.76/Kw for Jun-Dec.</t>
  </si>
  <si>
    <t>2024 O&amp;M</t>
  </si>
  <si>
    <t>2024 Avg Net Plant</t>
  </si>
  <si>
    <t>December 2023 Balance of PNMR Services Company, included above</t>
  </si>
  <si>
    <t>** December 2024 Balance of PNMR Services Company, included above</t>
  </si>
  <si>
    <t>*** December 2024 Balance of PNMR Services Company, included above</t>
  </si>
  <si>
    <t>line 99, Rate Design sheet</t>
  </si>
  <si>
    <t>line 100, Rate Design sheet</t>
  </si>
  <si>
    <t>6/1/25 -5/31/26</t>
  </si>
  <si>
    <t>December 2024</t>
  </si>
  <si>
    <t>page 263, line 50, column L</t>
  </si>
  <si>
    <t xml:space="preserve">page 263, line 30, column L </t>
  </si>
  <si>
    <t>page 263, line 62, column L</t>
  </si>
  <si>
    <t>page 263, line 28, column L</t>
  </si>
  <si>
    <t>page 263, lines 5, 35, 57 &amp; 63 column L</t>
  </si>
  <si>
    <t>page 263, lines 60 &amp; 61 column L</t>
  </si>
  <si>
    <t>page 263, line 44, column L</t>
  </si>
  <si>
    <t>page 257, line 42, column m</t>
  </si>
  <si>
    <t>Regulatory Asset or Liability for Deficient or Excess ADIT with Gross Up</t>
  </si>
  <si>
    <t xml:space="preserve">Regulatory Asset/(Liability) for Deficient </t>
  </si>
  <si>
    <t>or Excess ADIT with Gross Up</t>
  </si>
  <si>
    <t>ADIT Gross Up on Regulatory Asset</t>
  </si>
  <si>
    <t>/(Liability) for Deficient or Excess ADIT</t>
  </si>
  <si>
    <t>Line 106 plus Line 107</t>
  </si>
  <si>
    <t>2024/Q4</t>
  </si>
  <si>
    <t>Altop (AC)</t>
  </si>
  <si>
    <t>El Paso Electric Co.</t>
  </si>
  <si>
    <t>Southwestern Public Service Co.</t>
  </si>
  <si>
    <t>NF</t>
  </si>
  <si>
    <t>Tariff Vol. 6</t>
  </si>
  <si>
    <t>Amrad</t>
  </si>
  <si>
    <t xml:space="preserve">Eddy </t>
  </si>
  <si>
    <t>Altop (AC,AF)</t>
  </si>
  <si>
    <t>Public Service Co. of NM</t>
  </si>
  <si>
    <t>SFP</t>
  </si>
  <si>
    <t>San Juan</t>
  </si>
  <si>
    <t>Luna</t>
  </si>
  <si>
    <t>Aragonne Wind, LLC (D)</t>
  </si>
  <si>
    <t>Arizona Public Service Co</t>
  </si>
  <si>
    <t>LFP</t>
  </si>
  <si>
    <t>Guadalupe</t>
  </si>
  <si>
    <t>Four Corners</t>
  </si>
  <si>
    <t>Tucson Electric Power Co</t>
  </si>
  <si>
    <t>Greenlee</t>
  </si>
  <si>
    <t>Aragonne Wind, LLC (E)</t>
  </si>
  <si>
    <t>Blackwater</t>
  </si>
  <si>
    <t>Arizona Public Service Co (AC)</t>
  </si>
  <si>
    <t>Avangrid Renewables (AC)</t>
  </si>
  <si>
    <t>Clines Corners</t>
  </si>
  <si>
    <t>Black Hills Power (AC)</t>
  </si>
  <si>
    <t>Broadview Energy JN, LLC (AC)</t>
  </si>
  <si>
    <t>Western Spirit</t>
  </si>
  <si>
    <t>Broadview Energy JN, LLC (K,L)</t>
  </si>
  <si>
    <t>Broadview Energy KW, LLC (AC)</t>
  </si>
  <si>
    <t>Springerville</t>
  </si>
  <si>
    <t>Broadview Energy KW, LLC (M)</t>
  </si>
  <si>
    <t>City of Farmington Electric Utility (A)</t>
  </si>
  <si>
    <t>Public Service Co of NM</t>
  </si>
  <si>
    <t>Western Area Power Admin.</t>
  </si>
  <si>
    <t>OLF</t>
  </si>
  <si>
    <t>51</t>
  </si>
  <si>
    <t>Shiprock</t>
  </si>
  <si>
    <t>City of Gallup Electric Utility (R,AE)</t>
  </si>
  <si>
    <t>City of Gallup Electric Utility</t>
  </si>
  <si>
    <t>FNO</t>
  </si>
  <si>
    <t>Clines Corners Wind Farm LLC (AC)</t>
  </si>
  <si>
    <t>West Mesa</t>
  </si>
  <si>
    <t>Clines Corners Wind Farm, LLC (AC)</t>
  </si>
  <si>
    <t>Taiban</t>
  </si>
  <si>
    <t>Clines Corners Wind Farm, LLC (AC,AF)</t>
  </si>
  <si>
    <t>Clines Corners Wind Farm, LLC (AN,AO)</t>
  </si>
  <si>
    <t>Colorado River Storage Project (AC)</t>
  </si>
  <si>
    <t>Colorado River Storage Project (AC,AF)</t>
  </si>
  <si>
    <t>CP Energy Marketing (US) INC (AC)</t>
  </si>
  <si>
    <t>Duran Mesa, LLC (AC)</t>
  </si>
  <si>
    <t>Duran Mesa, LLC (AC,AF)</t>
  </si>
  <si>
    <t>Duran Mesa, LLC (AP)</t>
  </si>
  <si>
    <t>Dynasty Power Inc. (AC)</t>
  </si>
  <si>
    <t>Albuquerque</t>
  </si>
  <si>
    <t>Hidalgo</t>
  </si>
  <si>
    <t>Dynasty Power Inc. (AC,AF)</t>
  </si>
  <si>
    <t>Ojo</t>
  </si>
  <si>
    <t>Eagle Energy Partners (AC,AF)</t>
  </si>
  <si>
    <t>Salt River Project</t>
  </si>
  <si>
    <t>Arizona Public Service Co.</t>
  </si>
  <si>
    <t>Palo Verde</t>
  </si>
  <si>
    <t>West Wing</t>
  </si>
  <si>
    <t>EL Cabo Wind, LLC (AC)</t>
  </si>
  <si>
    <t>EL Cabo Wind, LLC (N,O,P,Q)</t>
  </si>
  <si>
    <t>El Paso Electric Company (AC)</t>
  </si>
  <si>
    <t>Kyrene</t>
  </si>
  <si>
    <t>El Paso Electric Company (F,G)</t>
  </si>
  <si>
    <t>El Paso Electric Company(AC)</t>
  </si>
  <si>
    <t>Picacho</t>
  </si>
  <si>
    <t>Airport</t>
  </si>
  <si>
    <t>El Paso Electric Company (AC,AF)</t>
  </si>
  <si>
    <t>El Paso Electric Company(AC,AF)</t>
  </si>
  <si>
    <t>Grady Wind Energy Center, LLC (AA,AB)</t>
  </si>
  <si>
    <t>Grady Wind Energy Center, LLC (AC,AF)</t>
  </si>
  <si>
    <t>Guzman Power Markets (AU)</t>
  </si>
  <si>
    <t>Guzman Power Markets (AC)</t>
  </si>
  <si>
    <t>Jicarilla</t>
  </si>
  <si>
    <t>Guzman Power Markets (AC,AF)</t>
  </si>
  <si>
    <t>High Lonesome Mesa (H,I)</t>
  </si>
  <si>
    <t>Willard</t>
  </si>
  <si>
    <t>Jicarilla Apache Nation (S,AE)</t>
  </si>
  <si>
    <t>Public Service Co of New Mexico</t>
  </si>
  <si>
    <t xml:space="preserve">Jicarilla Apache Nation </t>
  </si>
  <si>
    <t>Kit Carson Electric Coop (X,AE)</t>
  </si>
  <si>
    <t>Guzman Renewable Energy Partners</t>
  </si>
  <si>
    <t>Kit Carson Electric Cooperative</t>
  </si>
  <si>
    <t>Leeward Renewable Energy Development (AS)</t>
  </si>
  <si>
    <t>Los Alamos County Utilities (U,AE)</t>
  </si>
  <si>
    <t>Los Alamos County Utilities</t>
  </si>
  <si>
    <t>Macquarie Energy, LLC (AC)</t>
  </si>
  <si>
    <t>Macquarie Energy, LLC (AC,AF)</t>
  </si>
  <si>
    <t>MAG Energy Solutions (AC)</t>
  </si>
  <si>
    <t>MAG Energy Solutions (AC,AF)</t>
  </si>
  <si>
    <t>Mercuria Energy America, LLC (AC)</t>
  </si>
  <si>
    <t>Mercuria Energy America, LLC (AC,AF)</t>
  </si>
  <si>
    <t>Navajo Tribal Utility Authority (V,AE)</t>
  </si>
  <si>
    <t xml:space="preserve">Navajo Tribal Utility Authority </t>
  </si>
  <si>
    <t>Powerex (AC)</t>
  </si>
  <si>
    <t>Powerex (AC,AF)</t>
  </si>
  <si>
    <t>Public Service Co. of NM (AC)</t>
  </si>
  <si>
    <t>Mimbres</t>
  </si>
  <si>
    <t>Alamogordo</t>
  </si>
  <si>
    <t>Lordsburg</t>
  </si>
  <si>
    <t>Public Service Co. of NM-Whlse (Y)</t>
  </si>
  <si>
    <t>Public Service Company of Colorado (AC)</t>
  </si>
  <si>
    <t>Pueblo of Acoma Utility Authority (AE, AG)</t>
  </si>
  <si>
    <t>Pueblo of Acoma Utility Authority</t>
  </si>
  <si>
    <t>Rainbow Energy Marketing (AC)</t>
  </si>
  <si>
    <t>Rainbow Energy Marketing (AC,AF)</t>
  </si>
  <si>
    <t>Red Cloud Wind LLC (AI,AJ)</t>
  </si>
  <si>
    <t>Salt River Project (AC)</t>
  </si>
  <si>
    <t>Salt River Project (AC,AF)</t>
  </si>
  <si>
    <t>Coronado</t>
  </si>
  <si>
    <t>Salt River Project (AT)</t>
  </si>
  <si>
    <t>Second Foundation US, LLC (AC)</t>
  </si>
  <si>
    <t>SJ345</t>
  </si>
  <si>
    <t>Shell Energy (AC)</t>
  </si>
  <si>
    <t>Shell Energy (AC,AF)</t>
  </si>
  <si>
    <t>TEC Energy Inc. (AC)</t>
  </si>
  <si>
    <t>TEC Energy Inc. (AC,AF)</t>
  </si>
  <si>
    <t>Tecolote Wind LLC (AC)</t>
  </si>
  <si>
    <t>Tecolote Wind LLC (AC,AF)</t>
  </si>
  <si>
    <t>Tecolote Wind LLC (AK,AL,AM)</t>
  </si>
  <si>
    <t>Tenaska Power Services Co. (AC)</t>
  </si>
  <si>
    <t>Tenaska Power Services Co. (AC,AF)</t>
  </si>
  <si>
    <t>The Energy Authority  (AC,AF)</t>
  </si>
  <si>
    <t>The Energy Authority (AC)</t>
  </si>
  <si>
    <t>The Energy Authority (AC,AF)</t>
  </si>
  <si>
    <t>Transalta Energy Marketing (US) Inc. (AC)</t>
  </si>
  <si>
    <t>Transalta Energy Marketing (US) Inc. (AC,AF)</t>
  </si>
  <si>
    <t>Tri-State G&amp;T Assn (W,AE)</t>
  </si>
  <si>
    <t>Tri-State G&amp;T Assn</t>
  </si>
  <si>
    <t>Tri-State Generation and Transmission (AC)</t>
  </si>
  <si>
    <t>Hogback</t>
  </si>
  <si>
    <t>Tri-State G&amp;T Assn.</t>
  </si>
  <si>
    <t>Ambrosia</t>
  </si>
  <si>
    <t>Tri-State Generation and Transmission (AC,AF)</t>
  </si>
  <si>
    <t>Tri-State Generation and Transmission (J)</t>
  </si>
  <si>
    <t>Tucson Electric Power Company (AC)</t>
  </si>
  <si>
    <t>Tucson Electric Power Company (AC,AF)</t>
  </si>
  <si>
    <t>Uniper Global Commodities North America (AC)</t>
  </si>
  <si>
    <t>US Bureau of Reclamation (AD)</t>
  </si>
  <si>
    <t>OS</t>
  </si>
  <si>
    <t>85</t>
  </si>
  <si>
    <t>Gallegos Sub</t>
  </si>
  <si>
    <t>WAPA - Kirtland Air Force Base (T, AE)</t>
  </si>
  <si>
    <t>Kirtland Air Force Base</t>
  </si>
  <si>
    <t>Western Area Power Administration (C)</t>
  </si>
  <si>
    <t>86</t>
  </si>
  <si>
    <t>Holloman Air Force Base</t>
  </si>
  <si>
    <t>Holloman AFB</t>
  </si>
  <si>
    <t>Kirtland AFB</t>
  </si>
  <si>
    <t>Los Alamos County Utilities/ DOE</t>
  </si>
  <si>
    <t>DOE/Los Alamos</t>
  </si>
  <si>
    <t>Southwestern Public Service Co</t>
  </si>
  <si>
    <t>Tri-State G &amp; T Assn.</t>
  </si>
  <si>
    <t>Albuquerque/West Mesa</t>
  </si>
  <si>
    <t>Western Resources (AC)</t>
  </si>
  <si>
    <t>Western Spirit Contract Revenue (AR)</t>
  </si>
  <si>
    <t>Annual Formula Rate True Up (AH)</t>
  </si>
  <si>
    <t>AD</t>
  </si>
  <si>
    <t>FERC 864 Audit Refund (Z)</t>
  </si>
  <si>
    <t>Other (Z)</t>
  </si>
  <si>
    <t>23 Years</t>
  </si>
  <si>
    <t>ARAM</t>
  </si>
  <si>
    <t>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</si>
</sst>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409]m/d/yy\ h:mm\ AM/PM;@"/>
    <numFmt numFmtId="167" formatCode="_(&quot;$&quot;* #,##0_);_(&quot;$&quot;* \(#,##0\);_(&quot;$&quot;* &quot;-&quot;??_);_(@_)"/>
    <numFmt numFmtId="168" formatCode="0.0"/>
    <numFmt numFmtId="169" formatCode="_(* #,##0.0_);_(* \(#,##0.0\);_(* &quot;-&quot;??_);_(@_)"/>
    <numFmt numFmtId="170" formatCode="_(&quot;$&quot;* #,##0.000000_);_(&quot;$&quot;* \(#,##0.000000\);_(&quot;$&quot;* &quot;-&quot;??_);_(@_)"/>
    <numFmt numFmtId="171" formatCode="_(&quot;$&quot;* #,##0.0000_);_(&quot;$&quot;* \(#,##0.0000\);_(&quot;$&quot;* &quot;-&quot;??_);_(@_)"/>
    <numFmt numFmtId="172" formatCode="0_);\(0\)"/>
    <numFmt numFmtId="173" formatCode="_(* #,##0.000_);_(* \(#,##0.000\);_(* &quot;-&quot;??_);_(@_)"/>
    <numFmt numFmtId="174" formatCode="&quot;$&quot;#,##0.00"/>
    <numFmt numFmtId="175" formatCode="0.0%"/>
    <numFmt numFmtId="176" formatCode="0.000000"/>
    <numFmt numFmtId="177" formatCode="m\-d\-yy"/>
    <numFmt numFmtId="178" formatCode="_-* #,##0.0_-;\-* #,##0.0_-;_-* &quot;-&quot;??_-;_-@_-"/>
    <numFmt numFmtId="179" formatCode="#,##0.00&quot; $&quot;;\-#,##0.00&quot; $&quot;"/>
    <numFmt numFmtId="180" formatCode="0.00_);[Red]\(0.00\)"/>
    <numFmt numFmtId="181" formatCode="0.00_)"/>
    <numFmt numFmtId="182" formatCode="[$-409]mmmm\-yy;@"/>
    <numFmt numFmtId="183" formatCode="0.000000%"/>
    <numFmt numFmtId="184" formatCode="_-&quot;$&quot;* #,##0_-;\-&quot;$&quot;* #,##0_-;_-&quot;$&quot;* &quot;-&quot;_-;_-@_-"/>
    <numFmt numFmtId="185" formatCode="_-* #,##0_-;\-* #,##0_-;_-* &quot;-&quot;_-;_-@_-"/>
    <numFmt numFmtId="186" formatCode="_-* #,##0.00_-;\-* #,##0.00_-;_-* &quot;-&quot;??_-;_-@_-"/>
    <numFmt numFmtId="187" formatCode="_-&quot;$&quot;* #,##0.00_-;\-&quot;$&quot;* #,##0.00_-;_-&quot;$&quot;* &quot;-&quot;??_-;_-@_-"/>
    <numFmt numFmtId="188" formatCode="\£\ #,##0_);[Red]\(\£\ #,##0\)"/>
    <numFmt numFmtId="189" formatCode="\¥\ #,##0_);[Red]\(\¥\ #,##0\)"/>
    <numFmt numFmtId="190" formatCode="#,##0.00\ ;[Red]\(#,##0.00\)"/>
    <numFmt numFmtId="191" formatCode="#,##0.0\ \ \ _);\(#,##0.0\)"/>
    <numFmt numFmtId="192" formatCode="&quot;$&quot;#,##0_);[Red]\(&quot;$&quot;#,##0\);0_);@_)"/>
    <numFmt numFmtId="193" formatCode="#,##0.0_);[Red]\(#,##0.0\)"/>
    <numFmt numFmtId="194" formatCode="\•\ \ @"/>
    <numFmt numFmtId="195" formatCode="_-* #,##0.0_-;\-* #,##0.0_-;_-* &quot;-&quot;?_-;_-@_-"/>
    <numFmt numFmtId="196" formatCode="#,##0.00\ ;"/>
    <numFmt numFmtId="197" formatCode="#,##0,_);[Red]\(#,##0,\)"/>
    <numFmt numFmtId="198" formatCode="&quot;$&quot;#,##0.000_);\(&quot;$&quot;#,##0.000\)"/>
    <numFmt numFmtId="199" formatCode="\ \ _•\–\ \ \ \ @"/>
    <numFmt numFmtId="200" formatCode="General_)"/>
    <numFmt numFmtId="201" formatCode="_([$€-2]* #,##0.00_);_([$€-2]* \(#,##0.00\);_([$€-2]* &quot;-&quot;??_)"/>
    <numFmt numFmtId="202" formatCode="&quot; $&quot;#,##0.00\ ;&quot; $(&quot;#,##0.00\);&quot; $-&quot;#\ ;@\ "/>
    <numFmt numFmtId="203" formatCode=";;;"/>
    <numFmt numFmtId="204" formatCode="m/d/yy_);;;@_)"/>
    <numFmt numFmtId="205" formatCode="0.0000000%"/>
    <numFmt numFmtId="206" formatCode="0.000000000%"/>
    <numFmt numFmtId="207" formatCode="_ * #,##0_ ;_ * \-#,##0_ ;_ * &quot;-&quot;_ ;_ @_ "/>
    <numFmt numFmtId="208" formatCode="_ * #,##0.00_ ;_ * \-#,##0.00_ ;_ * &quot;-&quot;??_ ;_ @_ "/>
    <numFmt numFmtId="209" formatCode="#,##0.0_);\(#,##0.0\)"/>
    <numFmt numFmtId="210" formatCode="mmm\-yy_)"/>
    <numFmt numFmtId="211" formatCode="0.00000000%"/>
    <numFmt numFmtId="212" formatCode="[Blue]#,##0,_);[Red]\(#,##0,\)"/>
    <numFmt numFmtId="213" formatCode="#,##0.00;[Red]\(#,##0.00\)"/>
    <numFmt numFmtId="214" formatCode="_(* #,##0.00%_);[Red]_(* \-#,##0.00%_);[Green]_(* 0.00%_);_(@_)_%"/>
    <numFmt numFmtId="215" formatCode="0_);[Red]\(0\)"/>
    <numFmt numFmtId="216" formatCode="0.0000"/>
    <numFmt numFmtId="217" formatCode="0.000%"/>
    <numFmt numFmtId="218" formatCode="0.000"/>
    <numFmt numFmtId="219" formatCode="_(* #,##0.0_);_(* \(#,##0.0\);_(* &quot;-&quot;?_);_(@_)"/>
  </numFmts>
  <fonts count="176">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0"/>
      <name val="Arial"/>
      <family val="2"/>
    </font>
    <font>
      <i/>
      <sz val="11"/>
      <color theme="1"/>
      <name val="Calibri"/>
      <family val="2"/>
      <scheme val="minor"/>
    </font>
    <font>
      <sz val="10"/>
      <color theme="1"/>
      <name val="Arial"/>
      <family val="2"/>
    </font>
    <font>
      <b/>
      <sz val="10"/>
      <name val="Arial"/>
      <family val="2"/>
    </font>
    <font>
      <u val="singleAccounting"/>
      <sz val="10"/>
      <name val="Arial"/>
      <family val="2"/>
    </font>
    <font>
      <u/>
      <sz val="10"/>
      <name val="Arial"/>
      <family val="2"/>
    </font>
    <font>
      <sz val="11"/>
      <name val="Times New Roman"/>
      <family val="1"/>
    </font>
    <font>
      <sz val="11"/>
      <name val="Calibri"/>
      <family val="2"/>
      <scheme val="minor"/>
    </font>
    <font>
      <b/>
      <sz val="10"/>
      <color theme="1"/>
      <name val="Arial"/>
      <family val="2"/>
    </font>
    <font>
      <sz val="8"/>
      <name val="Arial"/>
      <family val="2"/>
    </font>
    <font>
      <sz val="11"/>
      <color rgb="FF0000CC"/>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Times New Roman"/>
      <family val="1"/>
    </font>
    <font>
      <sz val="9"/>
      <name val="Arial"/>
      <family val="2"/>
    </font>
    <font>
      <sz val="1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Arial"/>
      <family val="2"/>
    </font>
    <font>
      <sz val="11"/>
      <name val="??"/>
      <family val="3"/>
      <charset val="129"/>
    </font>
    <font>
      <i/>
      <sz val="11"/>
      <color indexed="23"/>
      <name val="Calibri"/>
      <family val="2"/>
    </font>
    <font>
      <sz val="11"/>
      <color indexed="17"/>
      <name val="Calibri"/>
      <family val="2"/>
    </font>
    <font>
      <b/>
      <u/>
      <sz val="11"/>
      <color indexed="37"/>
      <name val="Arial"/>
      <family val="2"/>
    </font>
    <font>
      <b/>
      <sz val="15"/>
      <color indexed="56"/>
      <name val="Calibri"/>
      <family val="2"/>
    </font>
    <font>
      <b/>
      <sz val="13"/>
      <color indexed="56"/>
      <name val="Calibri"/>
      <family val="2"/>
    </font>
    <font>
      <b/>
      <sz val="11"/>
      <color indexed="56"/>
      <name val="Calibri"/>
      <family val="2"/>
    </font>
    <font>
      <sz val="10"/>
      <color indexed="12"/>
      <name val="Arial"/>
      <family val="2"/>
    </font>
    <font>
      <u/>
      <sz val="10"/>
      <color indexed="12"/>
      <name val="Arial"/>
      <family val="2"/>
    </font>
    <font>
      <sz val="11"/>
      <color indexed="62"/>
      <name val="Calibri"/>
      <family val="2"/>
    </font>
    <font>
      <sz val="11"/>
      <color indexed="52"/>
      <name val="Calibri"/>
      <family val="2"/>
    </font>
    <font>
      <b/>
      <sz val="9"/>
      <name val="Arial"/>
      <family val="2"/>
    </font>
    <font>
      <sz val="11"/>
      <color indexed="60"/>
      <name val="Calibri"/>
      <family val="2"/>
    </font>
    <font>
      <sz val="7"/>
      <name val="Small Fonts"/>
      <family val="2"/>
    </font>
    <font>
      <b/>
      <i/>
      <sz val="16"/>
      <name val="Helv"/>
    </font>
    <font>
      <b/>
      <sz val="11"/>
      <color indexed="63"/>
      <name val="Calibri"/>
      <family val="2"/>
    </font>
    <font>
      <b/>
      <sz val="18"/>
      <color indexed="56"/>
      <name val="Cambria"/>
      <family val="2"/>
    </font>
    <font>
      <b/>
      <sz val="11"/>
      <color indexed="8"/>
      <name val="Calibri"/>
      <family val="2"/>
    </font>
    <font>
      <sz val="8"/>
      <color indexed="12"/>
      <name val="Arial"/>
      <family val="2"/>
    </font>
    <font>
      <sz val="11"/>
      <color indexed="10"/>
      <name val="Calibri"/>
      <family val="2"/>
    </font>
    <font>
      <sz val="10"/>
      <color indexed="8"/>
      <name val="Arial"/>
      <family val="2"/>
    </font>
    <font>
      <sz val="12"/>
      <name val="????"/>
      <charset val="136"/>
    </font>
    <font>
      <sz val="12"/>
      <name val="Times New Roman"/>
      <family val="1"/>
    </font>
    <font>
      <sz val="10"/>
      <name val="MS Sans Serif"/>
      <family val="2"/>
    </font>
    <font>
      <sz val="10"/>
      <color indexed="9"/>
      <name val="Arial"/>
      <family val="2"/>
    </font>
    <font>
      <sz val="10"/>
      <color indexed="12"/>
      <name val="Tahoma"/>
      <family val="2"/>
    </font>
    <font>
      <sz val="8"/>
      <name val="Times"/>
      <family val="1"/>
    </font>
    <font>
      <sz val="12"/>
      <name val="Arial MT"/>
    </font>
    <font>
      <sz val="10"/>
      <color indexed="20"/>
      <name val="Arial"/>
      <family val="2"/>
    </font>
    <font>
      <sz val="10"/>
      <name val="Times New Roman"/>
      <family val="1"/>
    </font>
    <font>
      <b/>
      <sz val="12"/>
      <name val="Times New Roman"/>
      <family val="1"/>
    </font>
    <font>
      <b/>
      <sz val="10"/>
      <color indexed="52"/>
      <name val="Arial"/>
      <family val="2"/>
    </font>
    <font>
      <b/>
      <sz val="11"/>
      <color indexed="10"/>
      <name val="Calibri"/>
      <family val="2"/>
    </font>
    <font>
      <b/>
      <sz val="10"/>
      <color indexed="9"/>
      <name val="Arial"/>
      <family val="2"/>
    </font>
    <font>
      <sz val="8"/>
      <name val="Palatino"/>
      <family val="1"/>
    </font>
    <font>
      <i/>
      <sz val="12"/>
      <color indexed="9"/>
      <name val="Arial"/>
      <family val="2"/>
    </font>
    <font>
      <b/>
      <sz val="18"/>
      <color indexed="8"/>
      <name val="Arial"/>
      <family val="2"/>
    </font>
    <font>
      <sz val="10"/>
      <color theme="1"/>
      <name val="Times New Roman"/>
      <family val="2"/>
    </font>
    <font>
      <sz val="10"/>
      <name val="Comic Sans MS"/>
      <family val="4"/>
    </font>
    <font>
      <sz val="10"/>
      <color indexed="8"/>
      <name val="MS Sans Serif"/>
      <family val="2"/>
    </font>
    <font>
      <sz val="10"/>
      <name val="BERNHARD"/>
      <family val="2"/>
    </font>
    <font>
      <sz val="10"/>
      <name val="Helv"/>
      <family val="2"/>
    </font>
    <font>
      <sz val="10"/>
      <name val="Helv"/>
    </font>
    <font>
      <sz val="1"/>
      <color indexed="8"/>
      <name val="Courier"/>
      <family val="3"/>
    </font>
    <font>
      <b/>
      <sz val="1"/>
      <color indexed="8"/>
      <name val="Courier"/>
      <family val="3"/>
    </font>
    <font>
      <u/>
      <sz val="11"/>
      <color indexed="12"/>
      <name val="Calibri"/>
      <family val="2"/>
    </font>
    <font>
      <i/>
      <sz val="10"/>
      <color indexed="23"/>
      <name val="Arial"/>
      <family val="2"/>
    </font>
    <font>
      <sz val="7"/>
      <name val="Palatino"/>
      <family val="1"/>
    </font>
    <font>
      <sz val="11"/>
      <name val="Arial"/>
      <family val="2"/>
    </font>
    <font>
      <sz val="10"/>
      <color indexed="17"/>
      <name val="Arial"/>
      <family val="2"/>
    </font>
    <font>
      <b/>
      <sz val="12"/>
      <name val="Helv"/>
    </font>
    <font>
      <b/>
      <sz val="12"/>
      <name val="Arial"/>
      <family val="2"/>
    </font>
    <font>
      <b/>
      <sz val="15"/>
      <color indexed="62"/>
      <name val="Calibri"/>
      <family val="2"/>
    </font>
    <font>
      <b/>
      <sz val="15"/>
      <color indexed="56"/>
      <name val="Arial"/>
      <family val="2"/>
    </font>
    <font>
      <b/>
      <sz val="13"/>
      <color indexed="62"/>
      <name val="Calibri"/>
      <family val="2"/>
    </font>
    <font>
      <b/>
      <sz val="13"/>
      <color indexed="56"/>
      <name val="Arial"/>
      <family val="2"/>
    </font>
    <font>
      <b/>
      <sz val="11"/>
      <color indexed="62"/>
      <name val="Calibri"/>
      <family val="2"/>
    </font>
    <font>
      <b/>
      <sz val="11"/>
      <color indexed="56"/>
      <name val="Arial"/>
      <family val="2"/>
    </font>
    <font>
      <b/>
      <u/>
      <sz val="14"/>
      <name val="Arial Narrow"/>
      <family val="2"/>
    </font>
    <font>
      <u/>
      <sz val="10"/>
      <color theme="10"/>
      <name val="Arial"/>
      <family val="2"/>
    </font>
    <font>
      <sz val="10"/>
      <color indexed="62"/>
      <name val="Arial"/>
      <family val="2"/>
    </font>
    <font>
      <sz val="12"/>
      <color indexed="37"/>
      <name val="swiss"/>
    </font>
    <font>
      <b/>
      <sz val="10"/>
      <color indexed="37"/>
      <name val="Arial MT"/>
    </font>
    <font>
      <sz val="10"/>
      <color indexed="52"/>
      <name val="Arial"/>
      <family val="2"/>
    </font>
    <font>
      <b/>
      <sz val="12"/>
      <color indexed="16"/>
      <name val="Times New Roman"/>
      <family val="1"/>
    </font>
    <font>
      <sz val="12"/>
      <color indexed="14"/>
      <name val="Arial"/>
      <family val="2"/>
    </font>
    <font>
      <b/>
      <sz val="11"/>
      <name val="Helv"/>
    </font>
    <font>
      <sz val="10"/>
      <color indexed="60"/>
      <name val="Arial"/>
      <family val="2"/>
    </font>
    <font>
      <sz val="11"/>
      <color indexed="19"/>
      <name val="Calibri"/>
      <family val="2"/>
    </font>
    <font>
      <sz val="12"/>
      <name val="Helv"/>
    </font>
    <font>
      <sz val="12"/>
      <color indexed="62"/>
      <name val="Arial"/>
      <family val="2"/>
    </font>
    <font>
      <b/>
      <sz val="10"/>
      <color indexed="63"/>
      <name val="Arial"/>
      <family val="2"/>
    </font>
    <font>
      <b/>
      <sz val="26"/>
      <name val="Times New Roman"/>
      <family val="1"/>
    </font>
    <font>
      <b/>
      <sz val="18"/>
      <name val="Times New Roman"/>
      <family val="1"/>
    </font>
    <font>
      <sz val="10"/>
      <color indexed="16"/>
      <name val="Helvetica-Black"/>
    </font>
    <font>
      <b/>
      <sz val="10"/>
      <name val="Times New Roman"/>
      <family val="1"/>
    </font>
    <font>
      <sz val="10"/>
      <name val="C Helvetica Condensed"/>
    </font>
    <font>
      <sz val="10"/>
      <color indexed="55"/>
      <name val="Arial"/>
      <family val="2"/>
    </font>
    <font>
      <sz val="11"/>
      <color indexed="8"/>
      <name val="Times New Roman"/>
      <family val="1"/>
    </font>
    <font>
      <b/>
      <sz val="10"/>
      <name val="MS Sans Serif"/>
      <family val="2"/>
    </font>
    <font>
      <b/>
      <sz val="6.5"/>
      <name val="MS Sans Serif"/>
      <family val="2"/>
    </font>
    <font>
      <b/>
      <sz val="12"/>
      <color indexed="8"/>
      <name val="Arial"/>
      <family val="2"/>
    </font>
    <font>
      <b/>
      <i/>
      <sz val="12"/>
      <color indexed="8"/>
      <name val="Arial"/>
      <family val="2"/>
    </font>
    <font>
      <b/>
      <sz val="11"/>
      <color indexed="9"/>
      <name val="Arial"/>
      <family val="2"/>
    </font>
    <font>
      <b/>
      <i/>
      <sz val="11"/>
      <color indexed="9"/>
      <name val="Arial"/>
      <family val="2"/>
    </font>
    <font>
      <b/>
      <i/>
      <sz val="22"/>
      <color indexed="15"/>
      <name val="Arial"/>
      <family val="2"/>
    </font>
    <font>
      <i/>
      <sz val="12"/>
      <color indexed="8"/>
      <name val="Arial"/>
      <family val="2"/>
    </font>
    <font>
      <sz val="12"/>
      <color indexed="9"/>
      <name val="Arial"/>
      <family val="2"/>
    </font>
    <font>
      <sz val="11"/>
      <color indexed="9"/>
      <name val="Arial"/>
      <family val="2"/>
    </font>
    <font>
      <i/>
      <sz val="11"/>
      <color indexed="9"/>
      <name val="Arial"/>
      <family val="2"/>
    </font>
    <font>
      <b/>
      <i/>
      <sz val="18"/>
      <color indexed="15"/>
      <name val="Arial"/>
      <family val="2"/>
    </font>
    <font>
      <sz val="8"/>
      <name val="Arial Narrow"/>
      <family val="2"/>
    </font>
    <font>
      <b/>
      <sz val="18"/>
      <color indexed="62"/>
      <name val="Cambria"/>
      <family val="2"/>
    </font>
    <font>
      <b/>
      <u/>
      <sz val="12"/>
      <name val="Arial Narrow"/>
      <family val="2"/>
    </font>
    <font>
      <b/>
      <sz val="14"/>
      <color indexed="9"/>
      <name val="Arial"/>
      <family val="2"/>
    </font>
    <font>
      <b/>
      <sz val="14"/>
      <name val="Arial"/>
      <family val="2"/>
    </font>
    <font>
      <b/>
      <sz val="12"/>
      <color indexed="9"/>
      <name val="Arial"/>
      <family val="2"/>
    </font>
    <font>
      <b/>
      <i/>
      <sz val="8"/>
      <color indexed="9"/>
      <name val="Arial"/>
      <family val="2"/>
    </font>
    <font>
      <b/>
      <sz val="8"/>
      <name val="Arial"/>
      <family val="2"/>
    </font>
    <font>
      <b/>
      <u/>
      <sz val="10"/>
      <name val="Arial Narrow"/>
      <family val="2"/>
    </font>
    <font>
      <b/>
      <sz val="14"/>
      <color indexed="13"/>
      <name val="Helv"/>
    </font>
    <font>
      <b/>
      <sz val="9"/>
      <name val="Palatino"/>
      <family val="1"/>
    </font>
    <font>
      <sz val="9"/>
      <color indexed="21"/>
      <name val="Helvetica-Black"/>
    </font>
    <font>
      <sz val="12"/>
      <color indexed="12"/>
      <name val="Arial MT"/>
    </font>
    <font>
      <b/>
      <sz val="11"/>
      <name val="Times New Roman"/>
      <family val="1"/>
    </font>
    <font>
      <b/>
      <sz val="10"/>
      <color indexed="8"/>
      <name val="Arial"/>
      <family val="2"/>
    </font>
    <font>
      <b/>
      <sz val="7"/>
      <color indexed="12"/>
      <name val="Arial"/>
      <family val="2"/>
    </font>
    <font>
      <u/>
      <sz val="10"/>
      <name val="Tms Rmn"/>
    </font>
    <font>
      <i/>
      <sz val="12"/>
      <color indexed="8"/>
      <name val="Arial MT"/>
    </font>
    <font>
      <sz val="6"/>
      <name val="DUTCH"/>
      <family val="1"/>
    </font>
    <font>
      <sz val="10"/>
      <color indexed="10"/>
      <name val="Arial"/>
      <family val="2"/>
    </font>
    <font>
      <sz val="6"/>
      <name val="Tms Rmn"/>
    </font>
    <font>
      <sz val="11"/>
      <color theme="1"/>
      <name val="Calibri"/>
      <family val="2"/>
    </font>
    <font>
      <b/>
      <sz val="11"/>
      <name val="Arial"/>
      <family val="2"/>
    </font>
    <font>
      <sz val="11"/>
      <color rgb="FFFFFF00"/>
      <name val="Calibri"/>
      <family val="2"/>
      <scheme val="minor"/>
    </font>
    <font>
      <b/>
      <sz val="11"/>
      <color rgb="FFFF0000"/>
      <name val="Calibri"/>
      <family val="2"/>
      <scheme val="minor"/>
    </font>
    <font>
      <sz val="10"/>
      <color theme="1"/>
      <name val="Calibri"/>
      <family val="2"/>
      <scheme val="minor"/>
    </font>
    <font>
      <u/>
      <sz val="11"/>
      <color theme="10"/>
      <name val="Calibri"/>
      <family val="2"/>
      <scheme val="minor"/>
    </font>
    <font>
      <b/>
      <sz val="8"/>
      <color theme="1"/>
      <name val="Calibri"/>
      <family val="2"/>
      <scheme val="minor"/>
    </font>
    <font>
      <sz val="8"/>
      <color theme="1"/>
      <name val="Calibri"/>
      <family val="2"/>
      <scheme val="minor"/>
    </font>
    <font>
      <b/>
      <u/>
      <sz val="8"/>
      <color theme="1"/>
      <name val="Calibri"/>
      <family val="2"/>
      <scheme val="minor"/>
    </font>
    <font>
      <b/>
      <sz val="8"/>
      <name val="Calibri"/>
      <family val="2"/>
      <scheme val="minor"/>
    </font>
    <font>
      <b/>
      <sz val="8"/>
      <color rgb="FFFF0000"/>
      <name val="Calibri"/>
      <family val="2"/>
      <scheme val="minor"/>
    </font>
    <font>
      <strike/>
      <sz val="11"/>
      <color rgb="FFFF0000"/>
      <name val="Calibri"/>
      <family val="2"/>
      <scheme val="minor"/>
    </font>
    <font>
      <sz val="8"/>
      <name val="Calibri"/>
      <family val="2"/>
      <scheme val="minor"/>
    </font>
    <font>
      <sz val="11"/>
      <name val="Calibri"/>
      <family val="2"/>
    </font>
    <font>
      <b/>
      <i/>
      <sz val="11"/>
      <name val="Calibri"/>
      <family val="2"/>
      <scheme val="minor"/>
    </font>
    <font>
      <b/>
      <sz val="11"/>
      <name val="Calibri"/>
      <family val="2"/>
      <scheme val="minor"/>
    </font>
    <font>
      <u/>
      <sz val="8"/>
      <color theme="10"/>
      <name val="Calibri"/>
      <family val="2"/>
      <scheme val="minor"/>
    </font>
    <font>
      <u/>
      <sz val="8"/>
      <name val="Calibri"/>
      <family val="2"/>
      <scheme val="minor"/>
    </font>
    <font>
      <strike/>
      <sz val="8"/>
      <name val="Calibri"/>
      <family val="2"/>
      <scheme val="minor"/>
    </font>
    <font>
      <strike/>
      <sz val="11"/>
      <name val="Calibri"/>
      <family val="2"/>
      <scheme val="minor"/>
    </font>
    <font>
      <sz val="10"/>
      <color rgb="FFFF0000"/>
      <name val="Arial"/>
      <family val="2"/>
    </font>
    <font>
      <b/>
      <strike/>
      <u/>
      <sz val="11"/>
      <color rgb="FFFF0000"/>
      <name val="Calibri"/>
      <family val="2"/>
      <scheme val="minor"/>
    </font>
    <font>
      <b/>
      <u/>
      <sz val="11"/>
      <color theme="1"/>
      <name val="Calibri"/>
      <family val="2"/>
      <scheme val="minor"/>
    </font>
    <font>
      <u/>
      <sz val="11"/>
      <color rgb="FFFF0000"/>
      <name val="Calibri"/>
      <family val="2"/>
      <scheme val="minor"/>
    </font>
    <font>
      <b/>
      <u/>
      <sz val="11"/>
      <name val="Calibri"/>
      <family val="2"/>
      <scheme val="minor"/>
    </font>
  </fonts>
  <fills count="105">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31"/>
      </patternFill>
    </fill>
    <fill>
      <patternFill patternType="solid">
        <fgColor indexed="44"/>
        <bgColor indexed="44"/>
      </patternFill>
    </fill>
    <fill>
      <patternFill patternType="solid">
        <f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23"/>
      </patternFill>
    </fill>
    <fill>
      <patternFill patternType="solid">
        <fgColor indexed="43"/>
        <bgColor indexed="8"/>
      </patternFill>
    </fill>
    <fill>
      <patternFill patternType="gray0625">
        <fgColor indexed="26"/>
        <bgColor indexed="43"/>
      </patternFill>
    </fill>
    <fill>
      <patternFill patternType="darkUp">
        <fgColor indexed="22"/>
      </patternFill>
    </fill>
    <fill>
      <patternFill patternType="solid">
        <fgColor indexed="41"/>
        <bgColor indexed="64"/>
      </patternFill>
    </fill>
    <fill>
      <patternFill patternType="mediumGray">
        <fgColor indexed="22"/>
      </patternFill>
    </fill>
    <fill>
      <patternFill patternType="solid">
        <fgColor indexed="9"/>
        <bgColor indexed="64"/>
      </patternFill>
    </fill>
    <fill>
      <patternFill patternType="solid">
        <fgColor indexed="13"/>
        <bgColor indexed="64"/>
      </patternFill>
    </fill>
    <fill>
      <patternFill patternType="solid">
        <fgColor indexed="21"/>
        <bgColor indexed="64"/>
      </patternFill>
    </fill>
    <fill>
      <patternFill patternType="solid">
        <fgColor indexed="37"/>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62"/>
        <bgColor indexed="64"/>
      </patternFill>
    </fill>
    <fill>
      <patternFill patternType="solid">
        <fgColor indexed="27"/>
        <bgColor indexed="64"/>
      </patternFill>
    </fill>
    <fill>
      <patternFill patternType="solid">
        <fgColor indexed="63"/>
        <bgColor indexed="64"/>
      </patternFill>
    </fill>
    <fill>
      <patternFill patternType="solid">
        <fgColor indexed="8"/>
        <bgColor indexed="64"/>
      </patternFill>
    </fill>
    <fill>
      <patternFill patternType="solid">
        <fgColor indexed="16"/>
        <bgColor indexed="64"/>
      </patternFill>
    </fill>
    <fill>
      <patternFill patternType="solid">
        <fgColor indexed="8"/>
        <bgColor indexed="8"/>
      </patternFill>
    </fill>
    <fill>
      <patternFill patternType="solid">
        <fgColor theme="6" tint="0.39997558519241921"/>
        <bgColor rgb="FF000000"/>
      </patternFill>
    </fill>
    <fill>
      <patternFill patternType="solid">
        <fgColor theme="0" tint="-0.249977111117893"/>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bottom style="thin">
        <color indexed="44"/>
      </bottom>
      <diagonal/>
    </border>
    <border>
      <left/>
      <right/>
      <top/>
      <bottom style="dotted">
        <color indexed="64"/>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style="hair">
        <color indexed="64"/>
      </left>
      <right style="hair">
        <color indexed="64"/>
      </right>
      <top style="hair">
        <color indexed="64"/>
      </top>
      <bottom style="hair">
        <color indexed="64"/>
      </bottom>
      <diagonal/>
    </border>
    <border>
      <left/>
      <right/>
      <top style="medium">
        <color indexed="8"/>
      </top>
      <bottom/>
      <diagonal/>
    </border>
    <border>
      <left/>
      <right/>
      <top/>
      <bottom style="double">
        <color indexed="10"/>
      </bottom>
      <diagonal/>
    </border>
    <border>
      <left style="thin">
        <color indexed="55"/>
      </left>
      <right style="thin">
        <color indexed="55"/>
      </right>
      <top style="thin">
        <color indexed="55"/>
      </top>
      <bottom style="thin">
        <color indexed="55"/>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ck">
        <color indexed="9"/>
      </top>
      <bottom style="medium">
        <color indexed="48"/>
      </bottom>
      <diagonal/>
    </border>
    <border>
      <left/>
      <right/>
      <top/>
      <bottom style="medium">
        <color indexed="22"/>
      </bottom>
      <diagonal/>
    </border>
    <border>
      <left/>
      <right/>
      <top style="thin">
        <color indexed="48"/>
      </top>
      <bottom style="thin">
        <color indexed="48"/>
      </bottom>
      <diagonal/>
    </border>
    <border>
      <left/>
      <right/>
      <top style="medium">
        <color indexed="22"/>
      </top>
      <bottom style="medium">
        <color indexed="22"/>
      </bottom>
      <diagonal/>
    </border>
    <border>
      <left/>
      <right/>
      <top style="thin">
        <color indexed="56"/>
      </top>
      <bottom style="double">
        <color indexed="56"/>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6889">
    <xf numFmtId="0" fontId="0" fillId="0" borderId="0"/>
    <xf numFmtId="43"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166" fontId="6" fillId="0" borderId="0"/>
    <xf numFmtId="0" fontId="4" fillId="0" borderId="0"/>
    <xf numFmtId="43" fontId="4" fillId="0" borderId="0" applyNumberForma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NumberForma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6"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3" fillId="0" borderId="0"/>
    <xf numFmtId="0" fontId="1" fillId="0" borderId="0"/>
    <xf numFmtId="43" fontId="1" fillId="0" borderId="0" applyFont="0" applyFill="0" applyBorder="0" applyAlignment="0" applyProtection="0"/>
    <xf numFmtId="0" fontId="1" fillId="0" borderId="0"/>
    <xf numFmtId="0" fontId="4"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176" fontId="4" fillId="0" borderId="0">
      <alignment horizontal="left" wrapText="1"/>
    </xf>
    <xf numFmtId="176" fontId="4" fillId="0" borderId="0">
      <alignment horizontal="left" wrapText="1"/>
    </xf>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177" fontId="7" fillId="55" borderId="35">
      <alignment horizontal="center" vertical="center"/>
    </xf>
    <xf numFmtId="0" fontId="35" fillId="38" borderId="0" applyNumberFormat="0" applyBorder="0" applyAlignment="0" applyProtection="0"/>
    <xf numFmtId="0" fontId="35" fillId="38" borderId="0" applyNumberFormat="0" applyBorder="0" applyAlignment="0" applyProtection="0"/>
    <xf numFmtId="0" fontId="36" fillId="56" borderId="36" applyNumberFormat="0" applyAlignment="0" applyProtection="0"/>
    <xf numFmtId="0" fontId="36" fillId="56" borderId="36" applyNumberFormat="0" applyAlignment="0" applyProtection="0"/>
    <xf numFmtId="0" fontId="37" fillId="57" borderId="37" applyNumberFormat="0" applyAlignment="0" applyProtection="0"/>
    <xf numFmtId="0" fontId="37" fillId="57" borderId="37" applyNumberFormat="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6" fontId="39" fillId="0" borderId="0">
      <protection locked="0"/>
    </xf>
    <xf numFmtId="0" fontId="40" fillId="0" borderId="0" applyNumberFormat="0" applyFill="0" applyBorder="0" applyAlignment="0" applyProtection="0"/>
    <xf numFmtId="0" fontId="40" fillId="0" borderId="0" applyNumberFormat="0" applyFill="0" applyBorder="0" applyAlignment="0" applyProtection="0"/>
    <xf numFmtId="178" fontId="4" fillId="0" borderId="0">
      <protection locked="0"/>
    </xf>
    <xf numFmtId="0" fontId="41" fillId="39" borderId="0" applyNumberFormat="0" applyBorder="0" applyAlignment="0" applyProtection="0"/>
    <xf numFmtId="0" fontId="41" fillId="39" borderId="0" applyNumberFormat="0" applyBorder="0" applyAlignment="0" applyProtection="0"/>
    <xf numFmtId="38" fontId="13" fillId="58" borderId="0" applyNumberFormat="0" applyBorder="0" applyAlignment="0" applyProtection="0"/>
    <xf numFmtId="0" fontId="42" fillId="0" borderId="0" applyNumberFormat="0" applyFill="0" applyBorder="0" applyAlignment="0" applyProtection="0"/>
    <xf numFmtId="0" fontId="43" fillId="0" borderId="38" applyNumberFormat="0" applyFill="0" applyAlignment="0" applyProtection="0"/>
    <xf numFmtId="0" fontId="43" fillId="0" borderId="38" applyNumberFormat="0" applyFill="0" applyAlignment="0" applyProtection="0"/>
    <xf numFmtId="0" fontId="44" fillId="0" borderId="39"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179" fontId="4" fillId="0" borderId="0">
      <protection locked="0"/>
    </xf>
    <xf numFmtId="179" fontId="4" fillId="0" borderId="0">
      <protection locked="0"/>
    </xf>
    <xf numFmtId="0" fontId="46" fillId="0" borderId="41" applyNumberFormat="0" applyFill="0" applyAlignment="0" applyProtection="0"/>
    <xf numFmtId="0" fontId="47" fillId="0" borderId="0" applyNumberFormat="0" applyFill="0" applyBorder="0" applyAlignment="0" applyProtection="0">
      <alignment vertical="top"/>
      <protection locked="0"/>
    </xf>
    <xf numFmtId="10" fontId="13" fillId="59" borderId="42" applyNumberFormat="0" applyBorder="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9" fillId="0" borderId="43" applyNumberFormat="0" applyFill="0" applyAlignment="0" applyProtection="0"/>
    <xf numFmtId="0" fontId="49" fillId="0" borderId="43" applyNumberFormat="0" applyFill="0" applyAlignment="0" applyProtection="0"/>
    <xf numFmtId="180" fontId="50" fillId="60" borderId="44" applyFont="0" applyFill="0" applyBorder="0" applyProtection="0">
      <alignment horizontal="center"/>
    </xf>
    <xf numFmtId="0" fontId="51" fillId="61" borderId="0" applyNumberFormat="0" applyBorder="0" applyAlignment="0" applyProtection="0"/>
    <xf numFmtId="0" fontId="51" fillId="61" borderId="0" applyNumberFormat="0" applyBorder="0" applyAlignment="0" applyProtection="0"/>
    <xf numFmtId="37" fontId="52" fillId="0" borderId="0"/>
    <xf numFmtId="181" fontId="53" fillId="0" borderId="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54" fillId="56" borderId="46" applyNumberFormat="0" applyAlignment="0" applyProtection="0"/>
    <xf numFmtId="0" fontId="54" fillId="56" borderId="46" applyNumberFormat="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0" fontId="55" fillId="0" borderId="0" applyNumberFormat="0" applyFill="0" applyBorder="0" applyAlignment="0" applyProtection="0"/>
    <xf numFmtId="0" fontId="55" fillId="0" borderId="0" applyNumberFormat="0" applyFill="0" applyBorder="0" applyAlignment="0" applyProtection="0"/>
    <xf numFmtId="0" fontId="56" fillId="0" borderId="47" applyNumberFormat="0" applyFill="0" applyAlignment="0" applyProtection="0"/>
    <xf numFmtId="0" fontId="56" fillId="0" borderId="47" applyNumberFormat="0" applyFill="0" applyAlignment="0" applyProtection="0"/>
    <xf numFmtId="37" fontId="13" fillId="63" borderId="0" applyNumberFormat="0" applyBorder="0" applyAlignment="0" applyProtection="0"/>
    <xf numFmtId="37" fontId="13" fillId="0" borderId="0"/>
    <xf numFmtId="3" fontId="57" fillId="0" borderId="41" applyProtection="0"/>
    <xf numFmtId="0" fontId="58" fillId="0" borderId="0" applyNumberFormat="0" applyFill="0" applyBorder="0" applyAlignment="0" applyProtection="0"/>
    <xf numFmtId="0" fontId="58" fillId="0" borderId="0" applyNumberFormat="0" applyFill="0" applyBorder="0" applyAlignment="0" applyProtection="0"/>
    <xf numFmtId="43" fontId="4" fillId="0" borderId="0" applyFont="0" applyFill="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0"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4" fillId="47"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4" borderId="0" applyNumberFormat="0" applyBorder="0" applyAlignment="0" applyProtection="0"/>
    <xf numFmtId="0" fontId="35" fillId="38" borderId="0" applyNumberFormat="0" applyBorder="0" applyAlignment="0" applyProtection="0"/>
    <xf numFmtId="0" fontId="36" fillId="56" borderId="36" applyNumberFormat="0" applyAlignment="0" applyProtection="0"/>
    <xf numFmtId="0" fontId="37" fillId="57" borderId="37" applyNumberFormat="0" applyAlignment="0" applyProtection="0"/>
    <xf numFmtId="0" fontId="40" fillId="0" borderId="0" applyNumberFormat="0" applyFill="0" applyBorder="0" applyAlignment="0" applyProtection="0"/>
    <xf numFmtId="0" fontId="41" fillId="39" borderId="0" applyNumberFormat="0" applyBorder="0" applyAlignment="0" applyProtection="0"/>
    <xf numFmtId="0" fontId="43" fillId="0" borderId="38"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8" fillId="42" borderId="36" applyNumberFormat="0" applyAlignment="0" applyProtection="0"/>
    <xf numFmtId="0" fontId="49" fillId="0" borderId="43" applyNumberFormat="0" applyFill="0" applyAlignment="0" applyProtection="0"/>
    <xf numFmtId="0" fontId="51" fillId="61" borderId="0" applyNumberFormat="0" applyBorder="0" applyAlignment="0" applyProtection="0"/>
    <xf numFmtId="0" fontId="13" fillId="62" borderId="45" applyNumberFormat="0" applyFont="0" applyAlignment="0" applyProtection="0"/>
    <xf numFmtId="0" fontId="54" fillId="56" borderId="46" applyNumberFormat="0" applyAlignment="0" applyProtection="0"/>
    <xf numFmtId="9" fontId="4" fillId="0" borderId="0" applyFont="0" applyFill="0" applyBorder="0" applyAlignment="0" applyProtection="0"/>
    <xf numFmtId="0" fontId="55" fillId="0" borderId="0" applyNumberFormat="0" applyFill="0" applyBorder="0" applyAlignment="0" applyProtection="0"/>
    <xf numFmtId="0" fontId="56" fillId="0" borderId="47" applyNumberFormat="0" applyFill="0" applyAlignment="0" applyProtection="0"/>
    <xf numFmtId="0" fontId="58" fillId="0" borderId="0" applyNumberFormat="0" applyFill="0" applyBorder="0" applyAlignment="0" applyProtection="0"/>
    <xf numFmtId="0" fontId="1" fillId="0" borderId="0"/>
    <xf numFmtId="182" fontId="1" fillId="0" borderId="0"/>
    <xf numFmtId="0" fontId="1" fillId="0" borderId="0"/>
    <xf numFmtId="182" fontId="4" fillId="0" borderId="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182" fontId="60" fillId="0" borderId="0"/>
    <xf numFmtId="184" fontId="61" fillId="0" borderId="0" applyFont="0" applyFill="0" applyBorder="0" applyAlignment="0" applyProtection="0"/>
    <xf numFmtId="185" fontId="61" fillId="0" borderId="0" applyFont="0" applyFill="0" applyBorder="0" applyAlignment="0" applyProtection="0"/>
    <xf numFmtId="186" fontId="61" fillId="0" borderId="0" applyFont="0" applyFill="0" applyBorder="0" applyAlignment="0" applyProtection="0"/>
    <xf numFmtId="184" fontId="60" fillId="0" borderId="0" applyFont="0" applyFill="0" applyBorder="0" applyAlignment="0" applyProtection="0"/>
    <xf numFmtId="187" fontId="61" fillId="0" borderId="0" applyFont="0" applyFill="0" applyBorder="0" applyAlignment="0" applyProtection="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176" fontId="4" fillId="0" borderId="0">
      <alignment horizontal="left" wrapText="1"/>
    </xf>
    <xf numFmtId="0" fontId="59" fillId="0" borderId="0">
      <alignment vertical="top"/>
    </xf>
    <xf numFmtId="0" fontId="59" fillId="0" borderId="0">
      <alignment vertical="top"/>
    </xf>
    <xf numFmtId="176" fontId="4" fillId="0" borderId="0">
      <alignment horizontal="left" wrapText="1"/>
    </xf>
    <xf numFmtId="176" fontId="4" fillId="0" borderId="0">
      <alignment horizontal="left" wrapText="1"/>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88" fontId="61" fillId="0" borderId="0" applyFont="0" applyFill="0" applyBorder="0" applyAlignment="0" applyProtection="0"/>
    <xf numFmtId="189" fontId="61" fillId="0" borderId="0" applyFont="0" applyFill="0" applyBorder="0" applyAlignment="0" applyProtection="0"/>
    <xf numFmtId="0" fontId="33" fillId="37" borderId="0" applyNumberFormat="0" applyBorder="0" applyAlignment="0" applyProtection="0"/>
    <xf numFmtId="0" fontId="33" fillId="37" borderId="0" applyNumberFormat="0" applyBorder="0" applyAlignment="0" applyProtection="0"/>
    <xf numFmtId="182" fontId="33" fillId="37"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37" borderId="0" applyNumberFormat="0" applyBorder="0" applyAlignment="0" applyProtection="0"/>
    <xf numFmtId="0" fontId="59" fillId="37" borderId="0" applyNumberFormat="0" applyBorder="0" applyAlignment="0" applyProtection="0"/>
    <xf numFmtId="0" fontId="33" fillId="37" borderId="0" applyNumberFormat="0" applyBorder="0" applyAlignment="0" applyProtection="0"/>
    <xf numFmtId="182" fontId="33" fillId="37" borderId="0" applyNumberFormat="0" applyBorder="0" applyAlignment="0" applyProtection="0"/>
    <xf numFmtId="0" fontId="33" fillId="56" borderId="0" applyNumberFormat="0" applyBorder="0" applyAlignment="0" applyProtection="0"/>
    <xf numFmtId="182" fontId="33" fillId="43" borderId="0" applyNumberFormat="0" applyBorder="0" applyAlignment="0" applyProtection="0"/>
    <xf numFmtId="0" fontId="59" fillId="37"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59" fillId="37"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182" fontId="33" fillId="3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59" fillId="38" borderId="0" applyNumberFormat="0" applyBorder="0" applyAlignment="0" applyProtection="0"/>
    <xf numFmtId="0" fontId="33" fillId="38" borderId="0" applyNumberFormat="0" applyBorder="0" applyAlignment="0" applyProtection="0"/>
    <xf numFmtId="182" fontId="33" fillId="38" borderId="0" applyNumberFormat="0" applyBorder="0" applyAlignment="0" applyProtection="0"/>
    <xf numFmtId="0" fontId="33" fillId="42" borderId="0" applyNumberFormat="0" applyBorder="0" applyAlignment="0" applyProtection="0"/>
    <xf numFmtId="182" fontId="33" fillId="44" borderId="0" applyNumberFormat="0" applyBorder="0" applyAlignment="0" applyProtection="0"/>
    <xf numFmtId="0" fontId="59" fillId="3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3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62" borderId="0" applyNumberFormat="0" applyBorder="0" applyAlignment="0" applyProtection="0"/>
    <xf numFmtId="182" fontId="33" fillId="62" borderId="0" applyNumberFormat="0" applyBorder="0" applyAlignment="0" applyProtection="0"/>
    <xf numFmtId="0" fontId="59" fillId="39"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59" fillId="39"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82" fontId="33" fillId="4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40" borderId="0" applyNumberFormat="0" applyBorder="0" applyAlignment="0" applyProtection="0"/>
    <xf numFmtId="0" fontId="59" fillId="40" borderId="0" applyNumberFormat="0" applyBorder="0" applyAlignment="0" applyProtection="0"/>
    <xf numFmtId="0" fontId="33" fillId="40" borderId="0" applyNumberFormat="0" applyBorder="0" applyAlignment="0" applyProtection="0"/>
    <xf numFmtId="182" fontId="33" fillId="40" borderId="0" applyNumberFormat="0" applyBorder="0" applyAlignment="0" applyProtection="0"/>
    <xf numFmtId="0" fontId="33" fillId="56" borderId="0" applyNumberFormat="0" applyBorder="0" applyAlignment="0" applyProtection="0"/>
    <xf numFmtId="182" fontId="33" fillId="42" borderId="0" applyNumberFormat="0" applyBorder="0" applyAlignment="0" applyProtection="0"/>
    <xf numFmtId="0" fontId="59" fillId="4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59" fillId="4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40"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182" fontId="33" fillId="41"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182" fontId="33" fillId="41" borderId="0" applyNumberFormat="0" applyBorder="0" applyAlignment="0" applyProtection="0"/>
    <xf numFmtId="0" fontId="33" fillId="43" borderId="0" applyNumberFormat="0" applyBorder="0" applyAlignment="0" applyProtection="0"/>
    <xf numFmtId="0" fontId="59" fillId="41"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59" fillId="41"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41"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42" borderId="0" applyNumberFormat="0" applyBorder="0" applyAlignment="0" applyProtection="0"/>
    <xf numFmtId="182" fontId="33" fillId="6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182" fontId="33" fillId="43"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182" fontId="33" fillId="43" borderId="0" applyNumberFormat="0" applyBorder="0" applyAlignment="0" applyProtection="0"/>
    <xf numFmtId="0" fontId="33" fillId="56" borderId="0" applyNumberFormat="0" applyBorder="0" applyAlignment="0" applyProtection="0"/>
    <xf numFmtId="182" fontId="33" fillId="41" borderId="0" applyNumberFormat="0" applyBorder="0" applyAlignment="0" applyProtection="0"/>
    <xf numFmtId="0" fontId="59" fillId="43"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59" fillId="43"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182"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59" fillId="44" borderId="0" applyNumberFormat="0" applyBorder="0" applyAlignment="0" applyProtection="0"/>
    <xf numFmtId="0" fontId="33" fillId="44" borderId="0" applyNumberFormat="0" applyBorder="0" applyAlignment="0" applyProtection="0"/>
    <xf numFmtId="182" fontId="33" fillId="44" borderId="0" applyNumberFormat="0" applyBorder="0" applyAlignment="0" applyProtection="0"/>
    <xf numFmtId="0" fontId="33" fillId="44" borderId="0" applyNumberFormat="0" applyBorder="0" applyAlignment="0" applyProtection="0"/>
    <xf numFmtId="0" fontId="59"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59"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3" fillId="44" borderId="0" applyNumberFormat="0" applyBorder="0" applyAlignment="0" applyProtection="0"/>
    <xf numFmtId="0" fontId="59" fillId="44" borderId="0" applyNumberFormat="0" applyBorder="0" applyAlignment="0" applyProtection="0"/>
    <xf numFmtId="0" fontId="59" fillId="44"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82" fontId="33" fillId="45"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45" borderId="0" applyNumberFormat="0" applyBorder="0" applyAlignment="0" applyProtection="0"/>
    <xf numFmtId="0" fontId="59" fillId="45" borderId="0" applyNumberFormat="0" applyBorder="0" applyAlignment="0" applyProtection="0"/>
    <xf numFmtId="0" fontId="33" fillId="45" borderId="0" applyNumberFormat="0" applyBorder="0" applyAlignment="0" applyProtection="0"/>
    <xf numFmtId="182" fontId="33" fillId="45" borderId="0" applyNumberFormat="0" applyBorder="0" applyAlignment="0" applyProtection="0"/>
    <xf numFmtId="0" fontId="33" fillId="61" borderId="0" applyNumberFormat="0" applyBorder="0" applyAlignment="0" applyProtection="0"/>
    <xf numFmtId="182" fontId="33" fillId="61" borderId="0" applyNumberFormat="0" applyBorder="0" applyAlignment="0" applyProtection="0"/>
    <xf numFmtId="0" fontId="59" fillId="45"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59" fillId="45"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3"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3" fillId="45"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82" fontId="33" fillId="4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40" borderId="0" applyNumberFormat="0" applyBorder="0" applyAlignment="0" applyProtection="0"/>
    <xf numFmtId="0" fontId="59" fillId="40" borderId="0" applyNumberFormat="0" applyBorder="0" applyAlignment="0" applyProtection="0"/>
    <xf numFmtId="0" fontId="33" fillId="40" borderId="0" applyNumberFormat="0" applyBorder="0" applyAlignment="0" applyProtection="0"/>
    <xf numFmtId="182" fontId="33" fillId="40" borderId="0" applyNumberFormat="0" applyBorder="0" applyAlignment="0" applyProtection="0"/>
    <xf numFmtId="0" fontId="33" fillId="56" borderId="0" applyNumberFormat="0" applyBorder="0" applyAlignment="0" applyProtection="0"/>
    <xf numFmtId="182" fontId="33" fillId="38" borderId="0" applyNumberFormat="0" applyBorder="0" applyAlignment="0" applyProtection="0"/>
    <xf numFmtId="0" fontId="59" fillId="4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59" fillId="4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3" fillId="40"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33" fillId="40"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182"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182" fontId="33" fillId="43" borderId="0" applyNumberFormat="0" applyBorder="0" applyAlignment="0" applyProtection="0"/>
    <xf numFmtId="0" fontId="33" fillId="43" borderId="0" applyNumberFormat="0" applyBorder="0" applyAlignment="0" applyProtection="0"/>
    <xf numFmtId="182" fontId="33" fillId="41"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182" fontId="33" fillId="4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6" borderId="0" applyNumberFormat="0" applyBorder="0" applyAlignment="0" applyProtection="0"/>
    <xf numFmtId="0" fontId="59" fillId="46" borderId="0" applyNumberFormat="0" applyBorder="0" applyAlignment="0" applyProtection="0"/>
    <xf numFmtId="0" fontId="33" fillId="46" borderId="0" applyNumberFormat="0" applyBorder="0" applyAlignment="0" applyProtection="0"/>
    <xf numFmtId="182" fontId="33" fillId="46" borderId="0" applyNumberFormat="0" applyBorder="0" applyAlignment="0" applyProtection="0"/>
    <xf numFmtId="0" fontId="33" fillId="42" borderId="0" applyNumberFormat="0" applyBorder="0" applyAlignment="0" applyProtection="0"/>
    <xf numFmtId="182" fontId="33" fillId="62" borderId="0" applyNumberFormat="0" applyBorder="0" applyAlignment="0" applyProtection="0"/>
    <xf numFmtId="0" fontId="59" fillId="4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3" fillId="46"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33" fillId="46"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49" borderId="0" applyNumberFormat="0" applyBorder="0" applyAlignment="0" applyProtection="0"/>
    <xf numFmtId="182" fontId="34" fillId="41"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29" fillId="16"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182"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63" fillId="44" borderId="0" applyNumberFormat="0" applyBorder="0" applyAlignment="0" applyProtection="0"/>
    <xf numFmtId="0" fontId="34" fillId="44" borderId="0" applyNumberFormat="0" applyBorder="0" applyAlignment="0" applyProtection="0"/>
    <xf numFmtId="182" fontId="34" fillId="44" borderId="0" applyNumberFormat="0" applyBorder="0" applyAlignment="0" applyProtection="0"/>
    <xf numFmtId="0" fontId="34" fillId="44" borderId="0" applyNumberFormat="0" applyBorder="0" applyAlignment="0" applyProtection="0"/>
    <xf numFmtId="182" fontId="34" fillId="5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29" fillId="20" borderId="0" applyNumberFormat="0" applyBorder="0" applyAlignment="0" applyProtection="0"/>
    <xf numFmtId="0" fontId="34" fillId="44"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182" fontId="34" fillId="45"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45" borderId="0" applyNumberFormat="0" applyBorder="0" applyAlignment="0" applyProtection="0"/>
    <xf numFmtId="0" fontId="63" fillId="45" borderId="0" applyNumberFormat="0" applyBorder="0" applyAlignment="0" applyProtection="0"/>
    <xf numFmtId="0" fontId="34" fillId="45" borderId="0" applyNumberFormat="0" applyBorder="0" applyAlignment="0" applyProtection="0"/>
    <xf numFmtId="182" fontId="34" fillId="45" borderId="0" applyNumberFormat="0" applyBorder="0" applyAlignment="0" applyProtection="0"/>
    <xf numFmtId="0" fontId="34" fillId="61" borderId="0" applyNumberFormat="0" applyBorder="0" applyAlignment="0" applyProtection="0"/>
    <xf numFmtId="182" fontId="34" fillId="46"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29" fillId="24" borderId="0" applyNumberFormat="0" applyBorder="0" applyAlignment="0" applyProtection="0"/>
    <xf numFmtId="0" fontId="34" fillId="45" borderId="0" applyNumberFormat="0" applyBorder="0" applyAlignment="0" applyProtection="0"/>
    <xf numFmtId="0" fontId="63" fillId="45" borderId="0" applyNumberFormat="0" applyBorder="0" applyAlignment="0" applyProtection="0"/>
    <xf numFmtId="0" fontId="63" fillId="45" borderId="0" applyNumberFormat="0" applyBorder="0" applyAlignment="0" applyProtection="0"/>
    <xf numFmtId="0" fontId="34" fillId="45"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57" borderId="0" applyNumberFormat="0" applyBorder="0" applyAlignment="0" applyProtection="0"/>
    <xf numFmtId="182" fontId="34" fillId="38"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29" fillId="28"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182"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63" fillId="49" borderId="0" applyNumberFormat="0" applyBorder="0" applyAlignment="0" applyProtection="0"/>
    <xf numFmtId="0" fontId="34" fillId="49" borderId="0" applyNumberFormat="0" applyBorder="0" applyAlignment="0" applyProtection="0"/>
    <xf numFmtId="182" fontId="34" fillId="49" borderId="0" applyNumberFormat="0" applyBorder="0" applyAlignment="0" applyProtection="0"/>
    <xf numFmtId="0" fontId="34" fillId="49" borderId="0" applyNumberFormat="0" applyBorder="0" applyAlignment="0" applyProtection="0"/>
    <xf numFmtId="182" fontId="34" fillId="41"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29" fillId="32" borderId="0" applyNumberFormat="0" applyBorder="0" applyAlignment="0" applyProtection="0"/>
    <xf numFmtId="0" fontId="34" fillId="49"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182" fontId="34" fillId="50"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50" borderId="0" applyNumberFormat="0" applyBorder="0" applyAlignment="0" applyProtection="0"/>
    <xf numFmtId="0" fontId="63" fillId="50" borderId="0" applyNumberFormat="0" applyBorder="0" applyAlignment="0" applyProtection="0"/>
    <xf numFmtId="0" fontId="34" fillId="50" borderId="0" applyNumberFormat="0" applyBorder="0" applyAlignment="0" applyProtection="0"/>
    <xf numFmtId="182" fontId="34" fillId="50" borderId="0" applyNumberFormat="0" applyBorder="0" applyAlignment="0" applyProtection="0"/>
    <xf numFmtId="0" fontId="34" fillId="42" borderId="0" applyNumberFormat="0" applyBorder="0" applyAlignment="0" applyProtection="0"/>
    <xf numFmtId="182" fontId="34" fillId="4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29" fillId="36" borderId="0" applyNumberFormat="0" applyBorder="0" applyAlignment="0" applyProtection="0"/>
    <xf numFmtId="0" fontId="34" fillId="50"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34" fillId="50" borderId="0" applyNumberFormat="0" applyBorder="0" applyAlignment="0" applyProtection="0"/>
    <xf numFmtId="182" fontId="33" fillId="64" borderId="0" applyNumberFormat="0" applyBorder="0" applyAlignment="0" applyProtection="0"/>
    <xf numFmtId="182" fontId="33" fillId="64" borderId="0" applyNumberFormat="0" applyBorder="0" applyAlignment="0" applyProtection="0"/>
    <xf numFmtId="182" fontId="34" fillId="65"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182" fontId="34" fillId="51"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51" borderId="0" applyNumberFormat="0" applyBorder="0" applyAlignment="0" applyProtection="0"/>
    <xf numFmtId="0" fontId="63" fillId="51" borderId="0" applyNumberFormat="0" applyBorder="0" applyAlignment="0" applyProtection="0"/>
    <xf numFmtId="0" fontId="34" fillId="51" borderId="0" applyNumberFormat="0" applyBorder="0" applyAlignment="0" applyProtection="0"/>
    <xf numFmtId="182" fontId="34" fillId="51" borderId="0" applyNumberFormat="0" applyBorder="0" applyAlignment="0" applyProtection="0"/>
    <xf numFmtId="0" fontId="34" fillId="49" borderId="0" applyNumberFormat="0" applyBorder="0" applyAlignment="0" applyProtection="0"/>
    <xf numFmtId="182" fontId="34" fillId="66"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29" fillId="13" borderId="0" applyNumberFormat="0" applyBorder="0" applyAlignment="0" applyProtection="0"/>
    <xf numFmtId="0" fontId="34" fillId="51" borderId="0" applyNumberFormat="0" applyBorder="0" applyAlignment="0" applyProtection="0"/>
    <xf numFmtId="0" fontId="63" fillId="51" borderId="0" applyNumberFormat="0" applyBorder="0" applyAlignment="0" applyProtection="0"/>
    <xf numFmtId="0" fontId="63" fillId="51" borderId="0" applyNumberFormat="0" applyBorder="0" applyAlignment="0" applyProtection="0"/>
    <xf numFmtId="0" fontId="34" fillId="51" borderId="0" applyNumberFormat="0" applyBorder="0" applyAlignment="0" applyProtection="0"/>
    <xf numFmtId="182" fontId="33" fillId="67" borderId="0" applyNumberFormat="0" applyBorder="0" applyAlignment="0" applyProtection="0"/>
    <xf numFmtId="182" fontId="33" fillId="68" borderId="0" applyNumberFormat="0" applyBorder="0" applyAlignment="0" applyProtection="0"/>
    <xf numFmtId="182" fontId="34" fillId="69"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182"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63" fillId="52" borderId="0" applyNumberFormat="0" applyBorder="0" applyAlignment="0" applyProtection="0"/>
    <xf numFmtId="0" fontId="34" fillId="52" borderId="0" applyNumberFormat="0" applyBorder="0" applyAlignment="0" applyProtection="0"/>
    <xf numFmtId="182" fontId="34" fillId="52" borderId="0" applyNumberFormat="0" applyBorder="0" applyAlignment="0" applyProtection="0"/>
    <xf numFmtId="0" fontId="34" fillId="52" borderId="0" applyNumberFormat="0" applyBorder="0" applyAlignment="0" applyProtection="0"/>
    <xf numFmtId="182" fontId="34" fillId="54"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29" fillId="17" borderId="0" applyNumberFormat="0" applyBorder="0" applyAlignment="0" applyProtection="0"/>
    <xf numFmtId="0" fontId="34" fillId="52" borderId="0" applyNumberFormat="0" applyBorder="0" applyAlignment="0" applyProtection="0"/>
    <xf numFmtId="0" fontId="63" fillId="52" borderId="0" applyNumberFormat="0" applyBorder="0" applyAlignment="0" applyProtection="0"/>
    <xf numFmtId="0" fontId="63" fillId="52" borderId="0" applyNumberFormat="0" applyBorder="0" applyAlignment="0" applyProtection="0"/>
    <xf numFmtId="0" fontId="34" fillId="52" borderId="0" applyNumberFormat="0" applyBorder="0" applyAlignment="0" applyProtection="0"/>
    <xf numFmtId="182" fontId="33" fillId="67" borderId="0" applyNumberFormat="0" applyBorder="0" applyAlignment="0" applyProtection="0"/>
    <xf numFmtId="182" fontId="33" fillId="70" borderId="0" applyNumberFormat="0" applyBorder="0" applyAlignment="0" applyProtection="0"/>
    <xf numFmtId="182" fontId="34" fillId="68"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182"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63" fillId="53" borderId="0" applyNumberFormat="0" applyBorder="0" applyAlignment="0" applyProtection="0"/>
    <xf numFmtId="0" fontId="34" fillId="53" borderId="0" applyNumberFormat="0" applyBorder="0" applyAlignment="0" applyProtection="0"/>
    <xf numFmtId="182" fontId="34" fillId="53" borderId="0" applyNumberFormat="0" applyBorder="0" applyAlignment="0" applyProtection="0"/>
    <xf numFmtId="0" fontId="34" fillId="53" borderId="0" applyNumberFormat="0" applyBorder="0" applyAlignment="0" applyProtection="0"/>
    <xf numFmtId="182" fontId="34" fillId="46"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9" fillId="21" borderId="0" applyNumberFormat="0" applyBorder="0" applyAlignment="0" applyProtection="0"/>
    <xf numFmtId="0" fontId="34" fillId="53" borderId="0" applyNumberFormat="0" applyBorder="0" applyAlignment="0" applyProtection="0"/>
    <xf numFmtId="0" fontId="63" fillId="53" borderId="0" applyNumberFormat="0" applyBorder="0" applyAlignment="0" applyProtection="0"/>
    <xf numFmtId="0" fontId="63" fillId="53" borderId="0" applyNumberFormat="0" applyBorder="0" applyAlignment="0" applyProtection="0"/>
    <xf numFmtId="0" fontId="34" fillId="53" borderId="0" applyNumberFormat="0" applyBorder="0" applyAlignment="0" applyProtection="0"/>
    <xf numFmtId="182" fontId="33" fillId="64" borderId="0" applyNumberFormat="0" applyBorder="0" applyAlignment="0" applyProtection="0"/>
    <xf numFmtId="182" fontId="33" fillId="68" borderId="0" applyNumberFormat="0" applyBorder="0" applyAlignment="0" applyProtection="0"/>
    <xf numFmtId="182" fontId="34" fillId="6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71" borderId="0" applyNumberFormat="0" applyBorder="0" applyAlignment="0" applyProtection="0"/>
    <xf numFmtId="182"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29" fillId="25"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3" fillId="72" borderId="0" applyNumberFormat="0" applyBorder="0" applyAlignment="0" applyProtection="0"/>
    <xf numFmtId="182" fontId="33" fillId="64" borderId="0" applyNumberFormat="0" applyBorder="0" applyAlignment="0" applyProtection="0"/>
    <xf numFmtId="182" fontId="34" fillId="65"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182"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63" fillId="49" borderId="0" applyNumberFormat="0" applyBorder="0" applyAlignment="0" applyProtection="0"/>
    <xf numFmtId="0" fontId="34" fillId="49" borderId="0" applyNumberFormat="0" applyBorder="0" applyAlignment="0" applyProtection="0"/>
    <xf numFmtId="182"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29" fillId="29" borderId="0" applyNumberFormat="0" applyBorder="0" applyAlignment="0" applyProtection="0"/>
    <xf numFmtId="0" fontId="34" fillId="49"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34" fillId="49" borderId="0" applyNumberFormat="0" applyBorder="0" applyAlignment="0" applyProtection="0"/>
    <xf numFmtId="182" fontId="33" fillId="67" borderId="0" applyNumberFormat="0" applyBorder="0" applyAlignment="0" applyProtection="0"/>
    <xf numFmtId="182" fontId="33" fillId="73" borderId="0" applyNumberFormat="0" applyBorder="0" applyAlignment="0" applyProtection="0"/>
    <xf numFmtId="182" fontId="34" fillId="73"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182"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63" fillId="54" borderId="0" applyNumberFormat="0" applyBorder="0" applyAlignment="0" applyProtection="0"/>
    <xf numFmtId="0" fontId="34" fillId="54" borderId="0" applyNumberFormat="0" applyBorder="0" applyAlignment="0" applyProtection="0"/>
    <xf numFmtId="182" fontId="34" fillId="54" borderId="0" applyNumberFormat="0" applyBorder="0" applyAlignment="0" applyProtection="0"/>
    <xf numFmtId="0" fontId="34" fillId="54" borderId="0" applyNumberFormat="0" applyBorder="0" applyAlignment="0" applyProtection="0"/>
    <xf numFmtId="182" fontId="34" fillId="52"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29" fillId="33" borderId="0" applyNumberFormat="0" applyBorder="0" applyAlignment="0" applyProtection="0"/>
    <xf numFmtId="0" fontId="34"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34" fillId="54" borderId="0" applyNumberFormat="0" applyBorder="0" applyAlignment="0" applyProtection="0"/>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77" fontId="7"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90" fontId="4" fillId="55" borderId="35">
      <alignment horizontal="center" vertical="center"/>
    </xf>
    <xf numFmtId="177" fontId="7"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77" fontId="7" fillId="55" borderId="35">
      <alignment horizontal="center" vertical="center"/>
    </xf>
    <xf numFmtId="0" fontId="64" fillId="0" borderId="0" applyNumberFormat="0" applyFill="0" applyBorder="0" applyAlignment="0">
      <protection locked="0"/>
    </xf>
    <xf numFmtId="191" fontId="30"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0" fontId="66"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0" fontId="35" fillId="38" borderId="0" applyNumberFormat="0" applyBorder="0" applyAlignment="0" applyProtection="0"/>
    <xf numFmtId="0" fontId="35" fillId="38" borderId="0" applyNumberFormat="0" applyBorder="0" applyAlignment="0" applyProtection="0"/>
    <xf numFmtId="182"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67" fillId="38" borderId="0" applyNumberFormat="0" applyBorder="0" applyAlignment="0" applyProtection="0"/>
    <xf numFmtId="0" fontId="35" fillId="38" borderId="0" applyNumberFormat="0" applyBorder="0" applyAlignment="0" applyProtection="0"/>
    <xf numFmtId="182" fontId="35" fillId="38" borderId="0" applyNumberFormat="0" applyBorder="0" applyAlignment="0" applyProtection="0"/>
    <xf numFmtId="0" fontId="35" fillId="38" borderId="0" applyNumberFormat="0" applyBorder="0" applyAlignment="0" applyProtection="0"/>
    <xf numFmtId="182" fontId="35" fillId="40"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20" fillId="7" borderId="0" applyNumberFormat="0" applyBorder="0" applyAlignment="0" applyProtection="0"/>
    <xf numFmtId="0" fontId="35"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35" fillId="38" borderId="0" applyNumberFormat="0" applyBorder="0" applyAlignment="0" applyProtection="0"/>
    <xf numFmtId="193" fontId="68" fillId="0" borderId="8"/>
    <xf numFmtId="0" fontId="69" fillId="0" borderId="4" applyNumberFormat="0" applyFill="0" applyAlignment="0" applyProtection="0"/>
    <xf numFmtId="38" fontId="68" fillId="0" borderId="8"/>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94" fontId="61" fillId="0" borderId="0" applyFont="0" applyFill="0" applyBorder="0" applyAlignment="0" applyProtection="0"/>
    <xf numFmtId="0" fontId="36" fillId="56" borderId="36" applyNumberFormat="0" applyAlignment="0" applyProtection="0"/>
    <xf numFmtId="0" fontId="36" fillId="56" borderId="36" applyNumberFormat="0" applyAlignment="0" applyProtection="0"/>
    <xf numFmtId="182" fontId="36" fillId="56" borderId="36" applyNumberFormat="0" applyAlignment="0" applyProtection="0"/>
    <xf numFmtId="0" fontId="36" fillId="74" borderId="36" applyNumberFormat="0" applyAlignment="0" applyProtection="0"/>
    <xf numFmtId="182" fontId="36" fillId="56" borderId="36" applyNumberFormat="0" applyFont="0" applyBorder="0" applyAlignment="0" applyProtection="0"/>
    <xf numFmtId="0" fontId="36" fillId="74" borderId="36" applyNumberFormat="0" applyAlignment="0" applyProtection="0"/>
    <xf numFmtId="0" fontId="36" fillId="74" borderId="36" applyNumberFormat="0" applyAlignment="0" applyProtection="0"/>
    <xf numFmtId="0" fontId="36" fillId="56" borderId="36" applyNumberFormat="0" applyAlignment="0" applyProtection="0"/>
    <xf numFmtId="0" fontId="70" fillId="56" borderId="36" applyNumberFormat="0" applyAlignment="0" applyProtection="0"/>
    <xf numFmtId="0" fontId="36" fillId="56" borderId="36" applyNumberFormat="0" applyAlignment="0" applyProtection="0"/>
    <xf numFmtId="182" fontId="36" fillId="56" borderId="36" applyNumberFormat="0" applyAlignment="0" applyProtection="0"/>
    <xf numFmtId="0" fontId="36" fillId="74" borderId="36" applyNumberFormat="0" applyAlignment="0" applyProtection="0"/>
    <xf numFmtId="182" fontId="71" fillId="74" borderId="36" applyNumberFormat="0" applyAlignment="0" applyProtection="0"/>
    <xf numFmtId="0" fontId="36" fillId="74" borderId="36" applyNumberFormat="0" applyAlignment="0" applyProtection="0"/>
    <xf numFmtId="0" fontId="36" fillId="74" borderId="36" applyNumberFormat="0" applyAlignment="0" applyProtection="0"/>
    <xf numFmtId="0" fontId="36" fillId="74" borderId="36" applyNumberFormat="0" applyAlignment="0" applyProtection="0"/>
    <xf numFmtId="0" fontId="36" fillId="74" borderId="36" applyNumberFormat="0" applyAlignment="0" applyProtection="0"/>
    <xf numFmtId="0" fontId="36" fillId="74" borderId="36" applyNumberFormat="0" applyAlignment="0" applyProtection="0"/>
    <xf numFmtId="0" fontId="36" fillId="74" borderId="36" applyNumberFormat="0" applyAlignment="0" applyProtection="0"/>
    <xf numFmtId="0" fontId="24" fillId="10" borderId="29" applyNumberFormat="0" applyAlignment="0" applyProtection="0"/>
    <xf numFmtId="0" fontId="36" fillId="56" borderId="36" applyNumberFormat="0" applyAlignment="0" applyProtection="0"/>
    <xf numFmtId="0" fontId="70" fillId="56" borderId="36" applyNumberFormat="0" applyAlignment="0" applyProtection="0"/>
    <xf numFmtId="0" fontId="70" fillId="56" borderId="36" applyNumberFormat="0" applyAlignment="0" applyProtection="0"/>
    <xf numFmtId="0" fontId="36" fillId="56" borderId="36" applyNumberFormat="0" applyAlignment="0" applyProtection="0"/>
    <xf numFmtId="0" fontId="37" fillId="57" borderId="37" applyNumberFormat="0" applyAlignment="0" applyProtection="0"/>
    <xf numFmtId="0" fontId="37" fillId="57" borderId="37" applyNumberFormat="0" applyAlignment="0" applyProtection="0"/>
    <xf numFmtId="182" fontId="37" fillId="57" borderId="37" applyNumberFormat="0" applyAlignment="0" applyProtection="0"/>
    <xf numFmtId="0" fontId="37" fillId="57" borderId="37" applyNumberFormat="0" applyAlignment="0" applyProtection="0"/>
    <xf numFmtId="0" fontId="37" fillId="57" borderId="37" applyNumberFormat="0" applyAlignment="0" applyProtection="0"/>
    <xf numFmtId="0" fontId="37" fillId="57" borderId="37" applyNumberFormat="0" applyAlignment="0" applyProtection="0"/>
    <xf numFmtId="0" fontId="72" fillId="57" borderId="37" applyNumberFormat="0" applyAlignment="0" applyProtection="0"/>
    <xf numFmtId="0" fontId="37" fillId="57" borderId="37" applyNumberFormat="0" applyAlignment="0" applyProtection="0"/>
    <xf numFmtId="182" fontId="37" fillId="57" borderId="37" applyNumberFormat="0" applyAlignment="0" applyProtection="0"/>
    <xf numFmtId="0" fontId="37" fillId="57" borderId="37" applyNumberFormat="0" applyAlignment="0" applyProtection="0"/>
    <xf numFmtId="0" fontId="37" fillId="57" borderId="37" applyNumberFormat="0" applyAlignment="0" applyProtection="0"/>
    <xf numFmtId="0" fontId="37" fillId="57" borderId="37" applyNumberFormat="0" applyAlignment="0" applyProtection="0"/>
    <xf numFmtId="0" fontId="37" fillId="57" borderId="37" applyNumberFormat="0" applyAlignment="0" applyProtection="0"/>
    <xf numFmtId="0" fontId="37" fillId="57" borderId="37" applyNumberFormat="0" applyAlignment="0" applyProtection="0"/>
    <xf numFmtId="0" fontId="37" fillId="57" borderId="37" applyNumberFormat="0" applyAlignment="0" applyProtection="0"/>
    <xf numFmtId="0" fontId="37" fillId="57" borderId="37" applyNumberFormat="0" applyAlignment="0" applyProtection="0"/>
    <xf numFmtId="0" fontId="26" fillId="11" borderId="32" applyNumberFormat="0" applyAlignment="0" applyProtection="0"/>
    <xf numFmtId="0" fontId="37" fillId="57" borderId="37" applyNumberFormat="0" applyAlignment="0" applyProtection="0"/>
    <xf numFmtId="0" fontId="72" fillId="57" borderId="37" applyNumberFormat="0" applyAlignment="0" applyProtection="0"/>
    <xf numFmtId="0" fontId="72" fillId="57" borderId="37" applyNumberFormat="0" applyAlignment="0" applyProtection="0"/>
    <xf numFmtId="0" fontId="37" fillId="57" borderId="37" applyNumberFormat="0" applyAlignment="0" applyProtection="0"/>
    <xf numFmtId="37" fontId="61" fillId="0" borderId="0"/>
    <xf numFmtId="40" fontId="4" fillId="0" borderId="0" applyBorder="0" applyProtection="0"/>
    <xf numFmtId="40" fontId="4" fillId="0" borderId="0" applyBorder="0" applyProtection="0"/>
    <xf numFmtId="40" fontId="4" fillId="0" borderId="0" applyBorder="0" applyProtection="0"/>
    <xf numFmtId="40" fontId="4" fillId="0" borderId="0" applyBorder="0" applyProtection="0"/>
    <xf numFmtId="195" fontId="4" fillId="0" borderId="0" applyFont="0" applyFill="0" applyBorder="0" applyAlignment="0" applyProtection="0"/>
    <xf numFmtId="37" fontId="59" fillId="0" borderId="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13"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78"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78"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4" fillId="0" borderId="0" applyFill="0" applyBorder="0" applyAlignment="0" applyProtection="0"/>
    <xf numFmtId="0" fontId="79" fillId="0" borderId="0"/>
    <xf numFmtId="0" fontId="80" fillId="0" borderId="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0" fontId="79" fillId="0" borderId="0"/>
    <xf numFmtId="0" fontId="80" fillId="0" borderId="0"/>
    <xf numFmtId="196" fontId="30" fillId="0" borderId="42"/>
    <xf numFmtId="197" fontId="4" fillId="0" borderId="0" applyFont="0" applyFill="0" applyBorder="0" applyAlignment="0" applyProtection="0"/>
    <xf numFmtId="198" fontId="61" fillId="0" borderId="0"/>
    <xf numFmtId="182" fontId="73"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2" fontId="73"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44" fontId="4" fillId="0" borderId="0" applyFont="0" applyFill="0" applyBorder="0" applyAlignment="0" applyProtection="0"/>
    <xf numFmtId="44" fontId="30" fillId="0" borderId="0" applyFont="0" applyFill="0" applyBorder="0" applyAlignment="0" applyProtection="0"/>
    <xf numFmtId="44" fontId="7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199" fontId="61" fillId="0" borderId="0" applyFont="0" applyFill="0" applyBorder="0" applyAlignment="0" applyProtection="0"/>
    <xf numFmtId="15" fontId="81" fillId="0" borderId="0">
      <alignment horizontal="center"/>
    </xf>
    <xf numFmtId="15" fontId="81" fillId="0" borderId="0">
      <alignment horizontal="center"/>
    </xf>
    <xf numFmtId="15" fontId="81" fillId="0" borderId="0">
      <alignment horizontal="center"/>
    </xf>
    <xf numFmtId="182" fontId="73" fillId="0" borderId="0" applyFont="0" applyFill="0" applyBorder="0" applyAlignment="0" applyProtection="0"/>
    <xf numFmtId="200" fontId="30" fillId="0" borderId="0" applyFont="0" applyFill="0" applyBorder="0" applyProtection="0">
      <alignment horizontal="right"/>
    </xf>
    <xf numFmtId="0" fontId="82" fillId="0" borderId="0">
      <protection locked="0"/>
    </xf>
    <xf numFmtId="182" fontId="73" fillId="0" borderId="51" applyNumberFormat="0" applyFont="0" applyFill="0" applyAlignment="0" applyProtection="0"/>
    <xf numFmtId="182" fontId="56" fillId="75" borderId="0" applyNumberFormat="0" applyBorder="0" applyAlignment="0" applyProtection="0"/>
    <xf numFmtId="182" fontId="56" fillId="76" borderId="0" applyNumberFormat="0" applyBorder="0" applyAlignment="0" applyProtection="0"/>
    <xf numFmtId="182" fontId="56" fillId="77" borderId="0" applyNumberFormat="0" applyBorder="0" applyAlignment="0" applyProtection="0"/>
    <xf numFmtId="0" fontId="83" fillId="0" borderId="0">
      <protection locked="0"/>
    </xf>
    <xf numFmtId="0" fontId="83" fillId="0" borderId="0">
      <protection locked="0"/>
    </xf>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182"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34" fillId="78" borderId="0"/>
    <xf numFmtId="202" fontId="33" fillId="0" borderId="0"/>
    <xf numFmtId="182" fontId="84" fillId="0" borderId="0"/>
    <xf numFmtId="182" fontId="33" fillId="0" borderId="0"/>
    <xf numFmtId="0" fontId="40" fillId="0" borderId="0" applyNumberFormat="0" applyFill="0" applyBorder="0" applyAlignment="0" applyProtection="0"/>
    <xf numFmtId="0" fontId="40" fillId="0" borderId="0" applyNumberFormat="0" applyFill="0" applyBorder="0" applyAlignment="0" applyProtection="0"/>
    <xf numFmtId="182"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85" fillId="0" borderId="0" applyNumberFormat="0" applyFill="0" applyBorder="0" applyAlignment="0" applyProtection="0"/>
    <xf numFmtId="0" fontId="40" fillId="0" borderId="0" applyNumberFormat="0" applyFill="0" applyBorder="0" applyAlignment="0" applyProtection="0"/>
    <xf numFmtId="182"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40" fillId="0" borderId="0" applyNumberFormat="0" applyFill="0" applyBorder="0" applyAlignment="0" applyProtection="0"/>
    <xf numFmtId="0" fontId="4" fillId="0" borderId="0" applyNumberFormat="0" applyFill="0" applyAlignment="0">
      <alignment horizontal="right" indent="1"/>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6" fontId="31" fillId="0" borderId="0"/>
    <xf numFmtId="0" fontId="82"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2" fontId="4" fillId="0" borderId="0" applyFill="0" applyBorder="0" applyAlignment="0" applyProtection="0"/>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82" fontId="86" fillId="0" borderId="0" applyFill="0" applyBorder="0" applyProtection="0">
      <alignment horizontal="left"/>
    </xf>
    <xf numFmtId="0" fontId="87" fillId="1" borderId="0"/>
    <xf numFmtId="0" fontId="41" fillId="39" borderId="0" applyNumberFormat="0" applyBorder="0" applyAlignment="0" applyProtection="0"/>
    <xf numFmtId="0" fontId="41" fillId="39" borderId="0" applyNumberFormat="0" applyBorder="0" applyAlignment="0" applyProtection="0"/>
    <xf numFmtId="182"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88" fillId="39" borderId="0" applyNumberFormat="0" applyBorder="0" applyAlignment="0" applyProtection="0"/>
    <xf numFmtId="0" fontId="41" fillId="39" borderId="0" applyNumberFormat="0" applyBorder="0" applyAlignment="0" applyProtection="0"/>
    <xf numFmtId="182" fontId="41" fillId="39" borderId="0" applyNumberFormat="0" applyBorder="0" applyAlignment="0" applyProtection="0"/>
    <xf numFmtId="0" fontId="41" fillId="39" borderId="0" applyNumberFormat="0" applyBorder="0" applyAlignment="0" applyProtection="0"/>
    <xf numFmtId="182" fontId="41" fillId="41"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9" fillId="6" borderId="0" applyNumberFormat="0" applyBorder="0" applyAlignment="0" applyProtection="0"/>
    <xf numFmtId="0" fontId="41"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41" fillId="39"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38" fontId="13" fillId="58" borderId="0" applyNumberFormat="0" applyBorder="0" applyAlignment="0" applyProtection="0"/>
    <xf numFmtId="182" fontId="73" fillId="0" borderId="0" applyFont="0" applyFill="0" applyBorder="0" applyAlignment="0" applyProtection="0">
      <alignment horizontal="right"/>
    </xf>
    <xf numFmtId="182" fontId="42" fillId="0" borderId="0" applyNumberFormat="0" applyFill="0" applyBorder="0" applyAlignment="0" applyProtection="0"/>
    <xf numFmtId="182" fontId="89" fillId="0" borderId="0">
      <alignment horizontal="left"/>
    </xf>
    <xf numFmtId="182" fontId="89" fillId="0" borderId="0">
      <alignment horizontal="left"/>
    </xf>
    <xf numFmtId="182" fontId="89" fillId="0" borderId="0">
      <alignment horizontal="left"/>
    </xf>
    <xf numFmtId="0" fontId="42" fillId="0" borderId="0" applyNumberFormat="0" applyFill="0" applyBorder="0" applyAlignment="0" applyProtection="0"/>
    <xf numFmtId="182" fontId="90" fillId="0" borderId="2" applyNumberFormat="0" applyAlignment="0" applyProtection="0">
      <alignment horizontal="left" vertical="center"/>
    </xf>
    <xf numFmtId="182" fontId="90" fillId="0" borderId="14">
      <alignment horizontal="left" vertical="center"/>
    </xf>
    <xf numFmtId="0" fontId="43" fillId="0" borderId="38" applyNumberFormat="0" applyFill="0" applyAlignment="0" applyProtection="0"/>
    <xf numFmtId="0" fontId="43" fillId="0" borderId="38" applyNumberFormat="0" applyFill="0" applyAlignment="0" applyProtection="0"/>
    <xf numFmtId="182" fontId="43" fillId="0" borderId="38"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43" fillId="0" borderId="38" applyNumberFormat="0" applyFill="0" applyAlignment="0" applyProtection="0"/>
    <xf numFmtId="0" fontId="92" fillId="0" borderId="38" applyNumberFormat="0" applyFill="0" applyAlignment="0" applyProtection="0"/>
    <xf numFmtId="0" fontId="43" fillId="0" borderId="38" applyNumberFormat="0" applyFill="0" applyAlignment="0" applyProtection="0"/>
    <xf numFmtId="182" fontId="43" fillId="0" borderId="38" applyNumberFormat="0" applyFill="0" applyAlignment="0" applyProtection="0"/>
    <xf numFmtId="0" fontId="91" fillId="0" borderId="52" applyNumberFormat="0" applyFill="0" applyAlignment="0" applyProtection="0"/>
    <xf numFmtId="182" fontId="91" fillId="0" borderId="53"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16" fillId="0" borderId="26" applyNumberFormat="0" applyFill="0" applyAlignment="0" applyProtection="0"/>
    <xf numFmtId="0" fontId="43"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43" fillId="0" borderId="38" applyNumberFormat="0" applyFill="0" applyAlignment="0" applyProtection="0"/>
    <xf numFmtId="0" fontId="44" fillId="0" borderId="39" applyNumberFormat="0" applyFill="0" applyAlignment="0" applyProtection="0"/>
    <xf numFmtId="0" fontId="44" fillId="0" borderId="39" applyNumberFormat="0" applyFill="0" applyAlignment="0" applyProtection="0"/>
    <xf numFmtId="182" fontId="44"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44" fillId="0" borderId="39" applyNumberFormat="0" applyFill="0" applyAlignment="0" applyProtection="0"/>
    <xf numFmtId="0" fontId="94" fillId="0" borderId="39" applyNumberFormat="0" applyFill="0" applyAlignment="0" applyProtection="0"/>
    <xf numFmtId="0" fontId="44" fillId="0" borderId="39" applyNumberFormat="0" applyFill="0" applyAlignment="0" applyProtection="0"/>
    <xf numFmtId="182" fontId="44" fillId="0" borderId="39" applyNumberFormat="0" applyFill="0" applyAlignment="0" applyProtection="0"/>
    <xf numFmtId="0" fontId="93" fillId="0" borderId="39" applyNumberFormat="0" applyFill="0" applyAlignment="0" applyProtection="0"/>
    <xf numFmtId="182" fontId="93" fillId="0" borderId="54"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17" fillId="0" borderId="27" applyNumberFormat="0" applyFill="0" applyAlignment="0" applyProtection="0"/>
    <xf numFmtId="0" fontId="44" fillId="0" borderId="39" applyNumberFormat="0" applyFill="0" applyAlignment="0" applyProtection="0"/>
    <xf numFmtId="0" fontId="94" fillId="0" borderId="39" applyNumberFormat="0" applyFill="0" applyAlignment="0" applyProtection="0"/>
    <xf numFmtId="0" fontId="94" fillId="0" borderId="39"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182" fontId="45" fillId="0" borderId="40"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45" fillId="0" borderId="40" applyNumberFormat="0" applyFill="0" applyAlignment="0" applyProtection="0"/>
    <xf numFmtId="0" fontId="96" fillId="0" borderId="40" applyNumberFormat="0" applyFill="0" applyAlignment="0" applyProtection="0"/>
    <xf numFmtId="0" fontId="45" fillId="0" borderId="40" applyNumberFormat="0" applyFill="0" applyAlignment="0" applyProtection="0"/>
    <xf numFmtId="182" fontId="45" fillId="0" borderId="40" applyNumberFormat="0" applyFill="0" applyAlignment="0" applyProtection="0"/>
    <xf numFmtId="0" fontId="95" fillId="0" borderId="55" applyNumberFormat="0" applyFill="0" applyAlignment="0" applyProtection="0"/>
    <xf numFmtId="182" fontId="95" fillId="0" borderId="56"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18" fillId="0" borderId="28" applyNumberFormat="0" applyFill="0" applyAlignment="0" applyProtection="0"/>
    <xf numFmtId="0" fontId="45" fillId="0" borderId="40" applyNumberFormat="0" applyFill="0" applyAlignment="0" applyProtection="0"/>
    <xf numFmtId="0" fontId="96" fillId="0" borderId="40" applyNumberFormat="0" applyFill="0" applyAlignment="0" applyProtection="0"/>
    <xf numFmtId="0" fontId="96" fillId="0" borderId="40"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182" fontId="4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5" fillId="0" borderId="0" applyNumberFormat="0" applyFill="0" applyBorder="0" applyAlignment="0" applyProtection="0"/>
    <xf numFmtId="0" fontId="96" fillId="0" borderId="0" applyNumberFormat="0" applyFill="0" applyBorder="0" applyAlignment="0" applyProtection="0"/>
    <xf numFmtId="0" fontId="45" fillId="0" borderId="0" applyNumberFormat="0" applyFill="0" applyBorder="0" applyAlignment="0" applyProtection="0"/>
    <xf numFmtId="182" fontId="45" fillId="0" borderId="0" applyNumberFormat="0" applyFill="0" applyBorder="0" applyAlignment="0" applyProtection="0"/>
    <xf numFmtId="0" fontId="95" fillId="0" borderId="0" applyNumberFormat="0" applyFill="0" applyBorder="0" applyAlignment="0" applyProtection="0"/>
    <xf numFmtId="182"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18" fillId="0" borderId="0" applyNumberFormat="0" applyFill="0" applyBorder="0" applyAlignment="0" applyProtection="0"/>
    <xf numFmtId="0" fontId="4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45" fillId="0" borderId="0" applyNumberFormat="0" applyFill="0" applyBorder="0" applyAlignment="0" applyProtection="0"/>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82" fontId="97" fillId="0" borderId="0"/>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182" fontId="46" fillId="0" borderId="41" applyNumberFormat="0" applyFill="0" applyAlignment="0" applyProtection="0"/>
    <xf numFmtId="0" fontId="46" fillId="0" borderId="41" applyNumberFormat="0" applyFill="0" applyAlignment="0" applyProtection="0"/>
    <xf numFmtId="0" fontId="98" fillId="0" borderId="0" applyNumberFormat="0" applyFill="0" applyBorder="0" applyAlignment="0" applyProtection="0">
      <alignment vertical="top"/>
      <protection locked="0"/>
    </xf>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0" fontId="13" fillId="59" borderId="42" applyNumberFormat="0" applyBorder="0" applyAlignment="0" applyProtection="0"/>
    <xf numFmtId="182" fontId="48" fillId="42" borderId="36" applyNumberFormat="0" applyAlignment="0" applyProtection="0"/>
    <xf numFmtId="182" fontId="48" fillId="42" borderId="36" applyNumberFormat="0" applyAlignment="0" applyProtection="0"/>
    <xf numFmtId="0" fontId="22" fillId="9" borderId="29"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182" fontId="48" fillId="42" borderId="36" applyNumberFormat="0" applyAlignment="0" applyProtection="0"/>
    <xf numFmtId="0" fontId="99" fillId="42" borderId="36" applyNumberFormat="0" applyAlignment="0" applyProtection="0"/>
    <xf numFmtId="0" fontId="48" fillId="42" borderId="36" applyNumberFormat="0" applyAlignment="0" applyProtection="0"/>
    <xf numFmtId="0" fontId="99"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182" fontId="48" fillId="42" borderId="36" applyNumberFormat="0" applyFont="0" applyBorder="0" applyAlignment="0" applyProtection="0"/>
    <xf numFmtId="0" fontId="48" fillId="42" borderId="36" applyNumberFormat="0" applyAlignment="0" applyProtection="0"/>
    <xf numFmtId="0" fontId="48" fillId="42" borderId="36" applyNumberFormat="0" applyAlignment="0" applyProtection="0"/>
    <xf numFmtId="0" fontId="99"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182" fontId="48" fillId="61"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182" fontId="48" fillId="42" borderId="36" applyNumberFormat="0" applyAlignment="0" applyProtection="0"/>
    <xf numFmtId="0" fontId="22" fillId="9" borderId="29"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182" fontId="48" fillId="42" borderId="36" applyNumberFormat="0" applyAlignment="0" applyProtection="0"/>
    <xf numFmtId="0" fontId="22" fillId="9" borderId="29"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182" fontId="48" fillId="42" borderId="36" applyNumberFormat="0" applyAlignment="0" applyProtection="0"/>
    <xf numFmtId="182" fontId="48" fillId="42" borderId="36" applyNumberFormat="0" applyAlignment="0" applyProtection="0"/>
    <xf numFmtId="0" fontId="22" fillId="9" borderId="29"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0" fontId="48" fillId="42" borderId="36" applyNumberFormat="0" applyAlignment="0" applyProtection="0"/>
    <xf numFmtId="41" fontId="46" fillId="60" borderId="57">
      <alignment horizontal="left"/>
      <protection locked="0"/>
    </xf>
    <xf numFmtId="182" fontId="100" fillId="79" borderId="58" applyNumberFormat="0" applyBorder="0" applyAlignment="0" applyProtection="0"/>
    <xf numFmtId="182" fontId="101" fillId="80" borderId="0" applyNumberFormat="0"/>
    <xf numFmtId="182" fontId="13" fillId="58" borderId="0"/>
    <xf numFmtId="0" fontId="49" fillId="0" borderId="43" applyNumberFormat="0" applyFill="0" applyAlignment="0" applyProtection="0"/>
    <xf numFmtId="0" fontId="49" fillId="0" borderId="43" applyNumberFormat="0" applyFill="0" applyAlignment="0" applyProtection="0"/>
    <xf numFmtId="182"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102" fillId="0" borderId="43" applyNumberFormat="0" applyFill="0" applyAlignment="0" applyProtection="0"/>
    <xf numFmtId="0" fontId="49" fillId="0" borderId="43" applyNumberFormat="0" applyFill="0" applyAlignment="0" applyProtection="0"/>
    <xf numFmtId="182" fontId="49" fillId="0" borderId="43" applyNumberFormat="0" applyFill="0" applyAlignment="0" applyProtection="0"/>
    <xf numFmtId="0" fontId="49" fillId="0" borderId="43" applyNumberFormat="0" applyFill="0" applyAlignment="0" applyProtection="0"/>
    <xf numFmtId="182" fontId="58" fillId="0" borderId="59"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25" fillId="0" borderId="31" applyNumberFormat="0" applyFill="0" applyAlignment="0" applyProtection="0"/>
    <xf numFmtId="0" fontId="49" fillId="0" borderId="43" applyNumberFormat="0" applyFill="0" applyAlignment="0" applyProtection="0"/>
    <xf numFmtId="0" fontId="102" fillId="0" borderId="43" applyNumberFormat="0" applyFill="0" applyAlignment="0" applyProtection="0"/>
    <xf numFmtId="0" fontId="102" fillId="0" borderId="43" applyNumberFormat="0" applyFill="0" applyAlignment="0" applyProtection="0"/>
    <xf numFmtId="0" fontId="49" fillId="0" borderId="43" applyNumberFormat="0" applyFill="0" applyAlignment="0" applyProtection="0"/>
    <xf numFmtId="204" fontId="9" fillId="0" borderId="0" applyFill="0" applyBorder="0" applyProtection="0">
      <alignment horizontal="right"/>
    </xf>
    <xf numFmtId="0" fontId="103" fillId="0" borderId="0"/>
    <xf numFmtId="205" fontId="10" fillId="0" borderId="0" applyFont="0" applyFill="0" applyBorder="0" applyAlignment="0" applyProtection="0"/>
    <xf numFmtId="206" fontId="10" fillId="0" borderId="0" applyFont="0" applyFill="0" applyBorder="0" applyAlignment="0" applyProtection="0"/>
    <xf numFmtId="207" fontId="4" fillId="0" borderId="0" applyFont="0" applyFill="0" applyBorder="0" applyAlignment="0" applyProtection="0"/>
    <xf numFmtId="208" fontId="4" fillId="0" borderId="0" applyFont="0" applyFill="0" applyBorder="0" applyAlignment="0" applyProtection="0"/>
    <xf numFmtId="209" fontId="104" fillId="0" borderId="0"/>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182" fontId="105" fillId="0" borderId="11"/>
    <xf numFmtId="183" fontId="10" fillId="0" borderId="0" applyFont="0" applyFill="0" applyBorder="0" applyAlignment="0" applyProtection="0"/>
    <xf numFmtId="211" fontId="10"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0" fontId="51" fillId="61" borderId="0" applyNumberFormat="0" applyBorder="0" applyAlignment="0" applyProtection="0"/>
    <xf numFmtId="0" fontId="51" fillId="61" borderId="0" applyNumberFormat="0" applyBorder="0" applyAlignment="0" applyProtection="0"/>
    <xf numFmtId="182"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106" fillId="61" borderId="0" applyNumberFormat="0" applyBorder="0" applyAlignment="0" applyProtection="0"/>
    <xf numFmtId="0" fontId="51" fillId="61" borderId="0" applyNumberFormat="0" applyBorder="0" applyAlignment="0" applyProtection="0"/>
    <xf numFmtId="182" fontId="51" fillId="61" borderId="0" applyNumberFormat="0" applyBorder="0" applyAlignment="0" applyProtection="0"/>
    <xf numFmtId="0" fontId="51" fillId="61" borderId="0" applyNumberFormat="0" applyBorder="0" applyAlignment="0" applyProtection="0"/>
    <xf numFmtId="182" fontId="107"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21" fillId="8" borderId="0" applyNumberFormat="0" applyBorder="0" applyAlignment="0" applyProtection="0"/>
    <xf numFmtId="0" fontId="51" fillId="61" borderId="0" applyNumberFormat="0" applyBorder="0" applyAlignment="0" applyProtection="0"/>
    <xf numFmtId="0" fontId="106" fillId="61" borderId="0" applyNumberFormat="0" applyBorder="0" applyAlignment="0" applyProtection="0"/>
    <xf numFmtId="0" fontId="106" fillId="61" borderId="0" applyNumberFormat="0" applyBorder="0" applyAlignment="0" applyProtection="0"/>
    <xf numFmtId="0" fontId="51" fillId="61" borderId="0" applyNumberFormat="0" applyBorder="0" applyAlignment="0" applyProtection="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0" fontId="108" fillId="0" borderId="0"/>
    <xf numFmtId="0" fontId="10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7" fontId="4" fillId="0" borderId="0">
      <alignment horizontal="left" wrapText="1"/>
    </xf>
    <xf numFmtId="182" fontId="1" fillId="0" borderId="0"/>
    <xf numFmtId="182" fontId="1" fillId="0" borderId="0"/>
    <xf numFmtId="182" fontId="1"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6" fillId="0" borderId="0"/>
    <xf numFmtId="182" fontId="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4"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8" fillId="0" borderId="0"/>
    <xf numFmtId="182" fontId="4" fillId="0" borderId="0"/>
    <xf numFmtId="0" fontId="4" fillId="0" borderId="0"/>
    <xf numFmtId="182" fontId="33" fillId="0" borderId="0"/>
    <xf numFmtId="0" fontId="78" fillId="0" borderId="0"/>
    <xf numFmtId="182" fontId="4" fillId="0" borderId="0"/>
    <xf numFmtId="0" fontId="78" fillId="0" borderId="0"/>
    <xf numFmtId="182" fontId="33" fillId="0" borderId="0"/>
    <xf numFmtId="182" fontId="30"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7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4" fillId="0" borderId="0"/>
    <xf numFmtId="0" fontId="78" fillId="0" borderId="0"/>
    <xf numFmtId="0" fontId="6" fillId="0" borderId="0"/>
    <xf numFmtId="182"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alignment horizontal="left" wrapText="1"/>
    </xf>
    <xf numFmtId="176" fontId="4" fillId="0" borderId="0">
      <alignment horizontal="left" wrapText="1"/>
    </xf>
    <xf numFmtId="182" fontId="1" fillId="0" borderId="0"/>
    <xf numFmtId="182"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4" fillId="0" borderId="0"/>
    <xf numFmtId="0" fontId="4" fillId="0" borderId="0"/>
    <xf numFmtId="182" fontId="4" fillId="0" borderId="0"/>
    <xf numFmtId="182" fontId="4" fillId="0" borderId="0"/>
    <xf numFmtId="0" fontId="4" fillId="0" borderId="0"/>
    <xf numFmtId="182" fontId="76" fillId="0" borderId="0"/>
    <xf numFmtId="182" fontId="6" fillId="0" borderId="0"/>
    <xf numFmtId="182" fontId="1" fillId="0" borderId="0"/>
    <xf numFmtId="182" fontId="6" fillId="0" borderId="0"/>
    <xf numFmtId="182" fontId="4" fillId="0" borderId="0"/>
    <xf numFmtId="0" fontId="4" fillId="0" borderId="0"/>
    <xf numFmtId="182" fontId="4" fillId="0" borderId="0"/>
    <xf numFmtId="182" fontId="4" fillId="0" borderId="0"/>
    <xf numFmtId="182" fontId="1" fillId="0" borderId="0"/>
    <xf numFmtId="182" fontId="4" fillId="0" borderId="0"/>
    <xf numFmtId="182" fontId="4" fillId="0" borderId="0"/>
    <xf numFmtId="0" fontId="4" fillId="0" borderId="0"/>
    <xf numFmtId="182" fontId="76" fillId="0" borderId="0"/>
    <xf numFmtId="182"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182" fontId="76" fillId="0" borderId="0"/>
    <xf numFmtId="182"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182" fontId="76" fillId="0" borderId="0"/>
    <xf numFmtId="182"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182" fontId="78" fillId="0" borderId="0"/>
    <xf numFmtId="0" fontId="78" fillId="0" borderId="0"/>
    <xf numFmtId="182" fontId="4" fillId="0" borderId="0"/>
    <xf numFmtId="0" fontId="4" fillId="0" borderId="0"/>
    <xf numFmtId="182" fontId="1" fillId="0" borderId="0"/>
    <xf numFmtId="0" fontId="78" fillId="0" borderId="0"/>
    <xf numFmtId="182" fontId="1" fillId="0" borderId="0"/>
    <xf numFmtId="0" fontId="78" fillId="0" borderId="0"/>
    <xf numFmtId="182" fontId="1" fillId="0" borderId="0"/>
    <xf numFmtId="182"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4" fillId="0" borderId="0"/>
    <xf numFmtId="182" fontId="1" fillId="0" borderId="0"/>
    <xf numFmtId="182" fontId="32" fillId="0" borderId="0"/>
    <xf numFmtId="182" fontId="6" fillId="0" borderId="0"/>
    <xf numFmtId="0" fontId="59" fillId="0" borderId="0"/>
    <xf numFmtId="182" fontId="6"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37" fontId="4" fillId="0" borderId="0"/>
    <xf numFmtId="182" fontId="1" fillId="0" borderId="0"/>
    <xf numFmtId="182" fontId="4" fillId="0" borderId="0"/>
    <xf numFmtId="0" fontId="59" fillId="0" borderId="0"/>
    <xf numFmtId="182" fontId="4"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0" fontId="4" fillId="0" borderId="0"/>
    <xf numFmtId="182" fontId="1" fillId="0" borderId="0"/>
    <xf numFmtId="182" fontId="1"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182" fontId="1" fillId="0" borderId="0"/>
    <xf numFmtId="182" fontId="1" fillId="0" borderId="0"/>
    <xf numFmtId="0" fontId="78" fillId="0" borderId="0"/>
    <xf numFmtId="182" fontId="1" fillId="0" borderId="0"/>
    <xf numFmtId="182" fontId="1" fillId="0" borderId="0"/>
    <xf numFmtId="182" fontId="1" fillId="0" borderId="0"/>
    <xf numFmtId="182" fontId="1" fillId="0" borderId="0"/>
    <xf numFmtId="0"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182" fontId="78" fillId="0" borderId="0"/>
    <xf numFmtId="182" fontId="1" fillId="0" borderId="0"/>
    <xf numFmtId="182" fontId="1" fillId="0" borderId="0"/>
    <xf numFmtId="182" fontId="1" fillId="0" borderId="0"/>
    <xf numFmtId="182" fontId="1" fillId="0" borderId="0"/>
    <xf numFmtId="0" fontId="78" fillId="0" borderId="0"/>
    <xf numFmtId="182" fontId="78" fillId="0" borderId="0"/>
    <xf numFmtId="182" fontId="1" fillId="0" borderId="0"/>
    <xf numFmtId="0" fontId="78" fillId="0" borderId="0"/>
    <xf numFmtId="182" fontId="78" fillId="0" borderId="0"/>
    <xf numFmtId="182" fontId="76"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182" fontId="7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182" fontId="76" fillId="0" borderId="0"/>
    <xf numFmtId="182" fontId="6"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182" fontId="4" fillId="0" borderId="0"/>
    <xf numFmtId="182" fontId="6"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182" fontId="78" fillId="0" borderId="0"/>
    <xf numFmtId="0" fontId="1" fillId="0" borderId="0"/>
    <xf numFmtId="0" fontId="1" fillId="0" borderId="0"/>
    <xf numFmtId="0" fontId="78" fillId="0" borderId="0"/>
    <xf numFmtId="0" fontId="1" fillId="0" borderId="0"/>
    <xf numFmtId="0" fontId="1" fillId="0" borderId="0"/>
    <xf numFmtId="0" fontId="78" fillId="0" borderId="0"/>
    <xf numFmtId="182" fontId="4" fillId="0" borderId="0"/>
    <xf numFmtId="0" fontId="78" fillId="0" borderId="0"/>
    <xf numFmtId="0" fontId="1" fillId="0" borderId="0"/>
    <xf numFmtId="0" fontId="1" fillId="0" borderId="0"/>
    <xf numFmtId="0" fontId="78" fillId="0" borderId="0"/>
    <xf numFmtId="3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182" fontId="1" fillId="0" borderId="0"/>
    <xf numFmtId="0" fontId="1" fillId="0" borderId="0"/>
    <xf numFmtId="0" fontId="1" fillId="0" borderId="0"/>
    <xf numFmtId="0" fontId="1" fillId="0" borderId="0"/>
    <xf numFmtId="182" fontId="76" fillId="0" borderId="0"/>
    <xf numFmtId="0" fontId="1" fillId="0" borderId="0"/>
    <xf numFmtId="182" fontId="13"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61" fillId="0" borderId="0"/>
    <xf numFmtId="0" fontId="78" fillId="0" borderId="0"/>
    <xf numFmtId="182" fontId="78"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64" fontId="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2" borderId="45"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3" fillId="62" borderId="45" applyNumberFormat="0" applyFont="0" applyAlignment="0" applyProtection="0"/>
    <xf numFmtId="0" fontId="78" fillId="62" borderId="45" applyNumberFormat="0" applyFont="0" applyAlignment="0" applyProtection="0"/>
    <xf numFmtId="0" fontId="78"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13"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3" fillId="62" borderId="45" applyNumberFormat="0" applyFont="0" applyAlignment="0" applyProtection="0"/>
    <xf numFmtId="0" fontId="78" fillId="62" borderId="45"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13"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182" fontId="4" fillId="62" borderId="45" applyNumberFormat="0" applyFont="0" applyAlignment="0" applyProtection="0"/>
    <xf numFmtId="182" fontId="4" fillId="62" borderId="45" applyNumberFormat="0" applyFont="0" applyAlignment="0" applyProtection="0"/>
    <xf numFmtId="182" fontId="13" fillId="62" borderId="45"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13"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182" fontId="4" fillId="62" borderId="45"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13"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45"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43" fontId="109" fillId="0" borderId="0"/>
    <xf numFmtId="3" fontId="81" fillId="81" borderId="0" applyNumberFormat="0"/>
    <xf numFmtId="2" fontId="62" fillId="0" borderId="0" applyFont="0" applyFill="0" applyBorder="0" applyAlignment="0" applyProtection="0"/>
    <xf numFmtId="212" fontId="57" fillId="0" borderId="0"/>
    <xf numFmtId="0" fontId="54" fillId="56" borderId="46" applyNumberFormat="0" applyAlignment="0" applyProtection="0"/>
    <xf numFmtId="0" fontId="54" fillId="56" borderId="46" applyNumberFormat="0" applyAlignment="0" applyProtection="0"/>
    <xf numFmtId="182" fontId="54" fillId="56" borderId="46" applyNumberFormat="0" applyAlignment="0" applyProtection="0"/>
    <xf numFmtId="0" fontId="54" fillId="74" borderId="46" applyNumberFormat="0" applyAlignment="0" applyProtection="0"/>
    <xf numFmtId="0" fontId="54" fillId="74" borderId="46" applyNumberFormat="0" applyAlignment="0" applyProtection="0"/>
    <xf numFmtId="0" fontId="54" fillId="74" borderId="46" applyNumberFormat="0" applyAlignment="0" applyProtection="0"/>
    <xf numFmtId="0" fontId="54" fillId="56" borderId="46" applyNumberFormat="0" applyAlignment="0" applyProtection="0"/>
    <xf numFmtId="0" fontId="110" fillId="56" borderId="46" applyNumberFormat="0" applyAlignment="0" applyProtection="0"/>
    <xf numFmtId="0" fontId="54" fillId="56" borderId="46" applyNumberFormat="0" applyAlignment="0" applyProtection="0"/>
    <xf numFmtId="182" fontId="54" fillId="56" borderId="46" applyNumberFormat="0" applyAlignment="0" applyProtection="0"/>
    <xf numFmtId="0" fontId="54" fillId="74" borderId="46" applyNumberFormat="0" applyAlignment="0" applyProtection="0"/>
    <xf numFmtId="182" fontId="54" fillId="74" borderId="46" applyNumberFormat="0" applyAlignment="0" applyProtection="0"/>
    <xf numFmtId="0" fontId="54" fillId="74" borderId="46" applyNumberFormat="0" applyAlignment="0" applyProtection="0"/>
    <xf numFmtId="0" fontId="54" fillId="74" borderId="46" applyNumberFormat="0" applyAlignment="0" applyProtection="0"/>
    <xf numFmtId="0" fontId="54" fillId="74" borderId="46" applyNumberFormat="0" applyAlignment="0" applyProtection="0"/>
    <xf numFmtId="0" fontId="54" fillId="74" borderId="46" applyNumberFormat="0" applyAlignment="0" applyProtection="0"/>
    <xf numFmtId="0" fontId="54" fillId="74" borderId="46" applyNumberFormat="0" applyAlignment="0" applyProtection="0"/>
    <xf numFmtId="0" fontId="54" fillId="74" borderId="46" applyNumberFormat="0" applyAlignment="0" applyProtection="0"/>
    <xf numFmtId="0" fontId="23" fillId="10" borderId="30" applyNumberFormat="0" applyAlignment="0" applyProtection="0"/>
    <xf numFmtId="0" fontId="54" fillId="56" borderId="46" applyNumberFormat="0" applyAlignment="0" applyProtection="0"/>
    <xf numFmtId="0" fontId="110" fillId="56" borderId="46" applyNumberFormat="0" applyAlignment="0" applyProtection="0"/>
    <xf numFmtId="0" fontId="110" fillId="56" borderId="46" applyNumberFormat="0" applyAlignment="0" applyProtection="0"/>
    <xf numFmtId="0" fontId="54" fillId="56" borderId="46" applyNumberFormat="0" applyAlignment="0" applyProtection="0"/>
    <xf numFmtId="213" fontId="59" fillId="74" borderId="0">
      <alignment horizontal="right"/>
    </xf>
    <xf numFmtId="182" fontId="111" fillId="0" borderId="0" applyFill="0" applyBorder="0" applyProtection="0">
      <alignment horizontal="left"/>
    </xf>
    <xf numFmtId="182" fontId="112" fillId="0" borderId="0" applyFill="0" applyBorder="0" applyProtection="0">
      <alignment horizontal="left"/>
    </xf>
    <xf numFmtId="1" fontId="113" fillId="0" borderId="0" applyProtection="0">
      <alignment horizontal="right" vertical="center"/>
    </xf>
    <xf numFmtId="209" fontId="61" fillId="0" borderId="0"/>
    <xf numFmtId="0" fontId="114" fillId="0" borderId="61" applyNumberFormat="0" applyAlignment="0" applyProtection="0"/>
    <xf numFmtId="0" fontId="68" fillId="60" borderId="0" applyNumberFormat="0" applyFont="0" applyBorder="0" applyAlignment="0" applyProtection="0"/>
    <xf numFmtId="0" fontId="13" fillId="82" borderId="48" applyNumberFormat="0" applyFont="0" applyBorder="0" applyAlignment="0" applyProtection="0">
      <alignment horizontal="center"/>
    </xf>
    <xf numFmtId="0" fontId="13" fillId="55" borderId="48" applyNumberFormat="0" applyFont="0" applyBorder="0" applyAlignment="0" applyProtection="0">
      <alignment horizontal="center"/>
    </xf>
    <xf numFmtId="0" fontId="68" fillId="0" borderId="62" applyNumberFormat="0" applyAlignment="0" applyProtection="0"/>
    <xf numFmtId="0" fontId="68" fillId="0" borderId="63" applyNumberFormat="0" applyAlignment="0" applyProtection="0"/>
    <xf numFmtId="0" fontId="114" fillId="0" borderId="64"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5" fontId="116" fillId="0" borderId="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17" fillId="0" borderId="0" applyFont="0" applyFill="0" applyBorder="0" applyAlignment="0" applyProtection="0"/>
    <xf numFmtId="9" fontId="4" fillId="0" borderId="0" applyFont="0" applyFill="0" applyBorder="0" applyAlignment="0" applyProtection="0"/>
    <xf numFmtId="9" fontId="117" fillId="0" borderId="0" applyFont="0" applyFill="0" applyBorder="0" applyAlignment="0" applyProtection="0"/>
    <xf numFmtId="9" fontId="61" fillId="0" borderId="0" applyFont="0" applyFill="0" applyBorder="0" applyAlignment="0" applyProtection="0"/>
    <xf numFmtId="9" fontId="77"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76"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182"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2"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182"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182" fontId="62" fillId="83" borderId="0" applyNumberFormat="0" applyFont="0" applyBorder="0" applyAlignment="0" applyProtection="0"/>
    <xf numFmtId="0" fontId="62" fillId="83" borderId="0" applyNumberFormat="0" applyFont="0" applyBorder="0" applyAlignment="0" applyProtection="0"/>
    <xf numFmtId="0" fontId="62" fillId="83" borderId="0" applyNumberFormat="0" applyFont="0" applyBorder="0" applyAlignment="0" applyProtection="0"/>
    <xf numFmtId="0" fontId="62" fillId="83" borderId="0" applyNumberFormat="0" applyFont="0" applyBorder="0" applyAlignment="0" applyProtection="0"/>
    <xf numFmtId="0" fontId="62" fillId="83" borderId="0" applyNumberFormat="0" applyFont="0" applyBorder="0" applyAlignment="0" applyProtection="0"/>
    <xf numFmtId="0" fontId="62" fillId="83" borderId="0" applyNumberFormat="0" applyFont="0" applyBorder="0" applyAlignment="0" applyProtection="0"/>
    <xf numFmtId="2" fontId="62" fillId="0" borderId="0" applyFont="0" applyFill="0" applyBorder="0" applyAlignment="0" applyProtection="0"/>
    <xf numFmtId="0" fontId="119" fillId="74" borderId="0" applyNumberFormat="0" applyFont="0" applyFill="0" applyBorder="0" applyAlignment="0" applyProtection="0"/>
    <xf numFmtId="0" fontId="119" fillId="84" borderId="0" applyNumberFormat="0" applyFont="0" applyFill="0" applyBorder="0" applyAlignment="0" applyProtection="0"/>
    <xf numFmtId="43" fontId="13" fillId="0" borderId="0" applyFont="0" applyFill="0" applyBorder="0" applyAlignment="0" applyProtection="0"/>
    <xf numFmtId="4" fontId="120"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1" fillId="85" borderId="65">
      <alignment vertical="center"/>
    </xf>
    <xf numFmtId="4" fontId="121" fillId="85" borderId="65">
      <alignment vertical="center"/>
    </xf>
    <xf numFmtId="4" fontId="121" fillId="85" borderId="65">
      <alignment vertical="center"/>
    </xf>
    <xf numFmtId="4" fontId="121" fillId="85" borderId="65">
      <alignment vertical="center"/>
    </xf>
    <xf numFmtId="4" fontId="121" fillId="85" borderId="65">
      <alignment vertical="center"/>
    </xf>
    <xf numFmtId="4" fontId="121" fillId="85" borderId="65">
      <alignment vertical="center"/>
    </xf>
    <xf numFmtId="4" fontId="121" fillId="85" borderId="65">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2"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123" fillId="87" borderId="39">
      <alignment vertical="center"/>
    </xf>
    <xf numFmtId="4" fontId="123" fillId="87" borderId="39">
      <alignment vertical="center"/>
    </xf>
    <xf numFmtId="4" fontId="123" fillId="87" borderId="39">
      <alignment vertical="center"/>
    </xf>
    <xf numFmtId="4" fontId="123" fillId="87" borderId="39">
      <alignment vertical="center"/>
    </xf>
    <xf numFmtId="4" fontId="123" fillId="87" borderId="39">
      <alignment vertical="center"/>
    </xf>
    <xf numFmtId="4" fontId="123" fillId="87" borderId="39">
      <alignment vertical="center"/>
    </xf>
    <xf numFmtId="4" fontId="123" fillId="87" borderId="39">
      <alignment vertical="center"/>
    </xf>
    <xf numFmtId="4" fontId="38" fillId="85" borderId="65">
      <alignment horizontal="left" vertical="center" indent="1"/>
    </xf>
    <xf numFmtId="4" fontId="38" fillId="85" borderId="65">
      <alignment horizontal="left" vertical="center" indent="1"/>
    </xf>
    <xf numFmtId="4" fontId="38" fillId="85" borderId="65">
      <alignment horizontal="left" vertical="center" indent="1"/>
    </xf>
    <xf numFmtId="4" fontId="38" fillId="85" borderId="65">
      <alignment horizontal="left" vertical="center" indent="1"/>
    </xf>
    <xf numFmtId="4" fontId="38" fillId="85" borderId="65">
      <alignment horizontal="left" vertical="center" indent="1"/>
    </xf>
    <xf numFmtId="4" fontId="38" fillId="85" borderId="65">
      <alignment horizontal="left" vertical="center" indent="1"/>
    </xf>
    <xf numFmtId="4" fontId="38" fillId="85" borderId="65">
      <alignment horizontal="left" vertical="center" indent="1"/>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4" fontId="38" fillId="88" borderId="0">
      <alignment horizontal="left" vertical="center" indent="1"/>
    </xf>
    <xf numFmtId="4" fontId="38" fillId="88" borderId="0">
      <alignment horizontal="left" vertical="center" indent="1"/>
    </xf>
    <xf numFmtId="4" fontId="38" fillId="88" borderId="0">
      <alignment horizontal="left" vertical="center" indent="1"/>
    </xf>
    <xf numFmtId="4" fontId="38" fillId="88" borderId="0">
      <alignment horizontal="left" vertical="center" indent="1"/>
    </xf>
    <xf numFmtId="4" fontId="38" fillId="88" borderId="0">
      <alignment horizontal="left" vertical="center" indent="1"/>
    </xf>
    <xf numFmtId="4" fontId="38" fillId="88" borderId="0">
      <alignment horizontal="left" vertical="center" indent="1"/>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60" borderId="65" applyNumberFormat="0" applyProtection="0">
      <alignment horizontal="right" vertical="center"/>
    </xf>
    <xf numFmtId="4" fontId="38" fillId="60" borderId="65" applyNumberFormat="0" applyProtection="0">
      <alignment horizontal="right" vertical="center"/>
    </xf>
    <xf numFmtId="4" fontId="38" fillId="60" borderId="65" applyNumberFormat="0" applyProtection="0">
      <alignment horizontal="right" vertical="center"/>
    </xf>
    <xf numFmtId="4" fontId="38" fillId="60" borderId="65" applyNumberFormat="0" applyProtection="0">
      <alignment horizontal="right" vertical="center"/>
    </xf>
    <xf numFmtId="4" fontId="38" fillId="60" borderId="65" applyNumberFormat="0" applyProtection="0">
      <alignment horizontal="right" vertical="center"/>
    </xf>
    <xf numFmtId="4" fontId="38" fillId="60" borderId="65" applyNumberFormat="0" applyProtection="0">
      <alignment horizontal="right" vertical="center"/>
    </xf>
    <xf numFmtId="4" fontId="38" fillId="60"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5" borderId="65" applyNumberFormat="0" applyProtection="0">
      <alignment horizontal="right" vertical="center"/>
    </xf>
    <xf numFmtId="4" fontId="38" fillId="95" borderId="65" applyNumberFormat="0" applyProtection="0">
      <alignment horizontal="right" vertical="center"/>
    </xf>
    <xf numFmtId="4" fontId="38" fillId="95" borderId="65" applyNumberFormat="0" applyProtection="0">
      <alignment horizontal="right" vertical="center"/>
    </xf>
    <xf numFmtId="4" fontId="38" fillId="95" borderId="65" applyNumberFormat="0" applyProtection="0">
      <alignment horizontal="right" vertical="center"/>
    </xf>
    <xf numFmtId="4" fontId="38" fillId="95" borderId="65" applyNumberFormat="0" applyProtection="0">
      <alignment horizontal="right" vertical="center"/>
    </xf>
    <xf numFmtId="4" fontId="38" fillId="95" borderId="65" applyNumberFormat="0" applyProtection="0">
      <alignment horizontal="right" vertical="center"/>
    </xf>
    <xf numFmtId="4" fontId="38" fillId="95" borderId="65" applyNumberFormat="0" applyProtection="0">
      <alignment horizontal="right" vertical="center"/>
    </xf>
    <xf numFmtId="4" fontId="38" fillId="86" borderId="65" applyNumberFormat="0" applyProtection="0">
      <alignment horizontal="right" vertical="center"/>
    </xf>
    <xf numFmtId="4" fontId="38" fillId="86" borderId="65" applyNumberFormat="0" applyProtection="0">
      <alignment horizontal="right" vertical="center"/>
    </xf>
    <xf numFmtId="4" fontId="38" fillId="86" borderId="65" applyNumberFormat="0" applyProtection="0">
      <alignment horizontal="right" vertical="center"/>
    </xf>
    <xf numFmtId="4" fontId="38" fillId="86" borderId="65" applyNumberFormat="0" applyProtection="0">
      <alignment horizontal="right" vertical="center"/>
    </xf>
    <xf numFmtId="4" fontId="38" fillId="86" borderId="65" applyNumberFormat="0" applyProtection="0">
      <alignment horizontal="right" vertical="center"/>
    </xf>
    <xf numFmtId="4" fontId="38" fillId="86" borderId="65" applyNumberFormat="0" applyProtection="0">
      <alignment horizontal="right" vertical="center"/>
    </xf>
    <xf numFmtId="4" fontId="38" fillId="86" borderId="65" applyNumberFormat="0" applyProtection="0">
      <alignment horizontal="right" vertical="center"/>
    </xf>
    <xf numFmtId="4" fontId="120" fillId="96" borderId="66">
      <alignment horizontal="left" vertical="center" indent="1"/>
    </xf>
    <xf numFmtId="4" fontId="120" fillId="96" borderId="66">
      <alignment horizontal="left" vertical="center" indent="1"/>
    </xf>
    <xf numFmtId="4" fontId="120" fillId="96" borderId="66">
      <alignment horizontal="left" vertical="center" indent="1"/>
    </xf>
    <xf numFmtId="4" fontId="120" fillId="96" borderId="66">
      <alignment horizontal="left" vertical="center" indent="1"/>
    </xf>
    <xf numFmtId="4" fontId="120" fillId="96" borderId="66">
      <alignment horizontal="left" vertical="center" indent="1"/>
    </xf>
    <xf numFmtId="4" fontId="120" fillId="96" borderId="66">
      <alignment horizontal="left" vertical="center" indent="1"/>
    </xf>
    <xf numFmtId="4" fontId="120" fillId="96" borderId="66">
      <alignment horizontal="left" vertical="center" indent="1"/>
    </xf>
    <xf numFmtId="4" fontId="120" fillId="55" borderId="0">
      <alignment horizontal="left" vertical="center" indent="1"/>
    </xf>
    <xf numFmtId="4" fontId="120" fillId="55" borderId="0">
      <alignment horizontal="left" vertical="center" indent="1"/>
    </xf>
    <xf numFmtId="4" fontId="120" fillId="55" borderId="0">
      <alignment horizontal="left" vertical="center" indent="1"/>
    </xf>
    <xf numFmtId="4" fontId="120" fillId="55" borderId="0">
      <alignment horizontal="left" vertical="center" indent="1"/>
    </xf>
    <xf numFmtId="4" fontId="120" fillId="55" borderId="0">
      <alignment horizontal="left" vertical="center" indent="1"/>
    </xf>
    <xf numFmtId="4" fontId="120" fillId="55" borderId="0">
      <alignment horizontal="left" vertical="center" indent="1"/>
    </xf>
    <xf numFmtId="4" fontId="120" fillId="88" borderId="0">
      <alignment horizontal="left" vertical="center" indent="1"/>
    </xf>
    <xf numFmtId="4" fontId="120" fillId="88" borderId="0">
      <alignment horizontal="left" vertical="center" indent="1"/>
    </xf>
    <xf numFmtId="4" fontId="120" fillId="88" borderId="0">
      <alignment horizontal="left" vertical="center" indent="1"/>
    </xf>
    <xf numFmtId="4" fontId="120" fillId="88" borderId="0">
      <alignment horizontal="left" vertical="center" indent="1"/>
    </xf>
    <xf numFmtId="4" fontId="120" fillId="88" borderId="0">
      <alignment horizontal="left" vertical="center" indent="1"/>
    </xf>
    <xf numFmtId="4" fontId="120" fillId="88" borderId="0">
      <alignment horizontal="left" vertical="center" indent="1"/>
    </xf>
    <xf numFmtId="4" fontId="38" fillId="55" borderId="65">
      <alignment horizontal="right" vertical="center"/>
    </xf>
    <xf numFmtId="4" fontId="38" fillId="55" borderId="65">
      <alignment horizontal="right" vertical="center"/>
    </xf>
    <xf numFmtId="4" fontId="38" fillId="55" borderId="65">
      <alignment horizontal="right" vertical="center"/>
    </xf>
    <xf numFmtId="4" fontId="38" fillId="55" borderId="65">
      <alignment horizontal="right" vertical="center"/>
    </xf>
    <xf numFmtId="4" fontId="38" fillId="55" borderId="65">
      <alignment horizontal="right" vertical="center"/>
    </xf>
    <xf numFmtId="4" fontId="38" fillId="55" borderId="65">
      <alignment horizontal="right" vertical="center"/>
    </xf>
    <xf numFmtId="4" fontId="38" fillId="55" borderId="65">
      <alignment horizontal="right" vertical="center"/>
    </xf>
    <xf numFmtId="4" fontId="38" fillId="55" borderId="0">
      <alignment horizontal="left" vertical="center" indent="1"/>
    </xf>
    <xf numFmtId="4" fontId="38" fillId="55" borderId="0">
      <alignment horizontal="left" vertical="center" indent="1"/>
    </xf>
    <xf numFmtId="4" fontId="38" fillId="55" borderId="0">
      <alignment horizontal="left" vertical="center" indent="1"/>
    </xf>
    <xf numFmtId="4" fontId="38" fillId="55" borderId="0">
      <alignment horizontal="left" vertical="center" indent="1"/>
    </xf>
    <xf numFmtId="4" fontId="38" fillId="55" borderId="0">
      <alignment horizontal="left" vertical="center" indent="1"/>
    </xf>
    <xf numFmtId="4" fontId="38" fillId="55" borderId="0">
      <alignment horizontal="left" vertical="center" indent="1"/>
    </xf>
    <xf numFmtId="4" fontId="59" fillId="55" borderId="0">
      <alignment horizontal="left" vertical="center" indent="1"/>
    </xf>
    <xf numFmtId="4" fontId="59" fillId="55" borderId="0">
      <alignment horizontal="left" vertical="center" indent="1"/>
    </xf>
    <xf numFmtId="4" fontId="59" fillId="55" borderId="0">
      <alignment horizontal="left" vertical="center" indent="1"/>
    </xf>
    <xf numFmtId="4" fontId="59" fillId="55" borderId="0">
      <alignment horizontal="left" vertical="center" indent="1"/>
    </xf>
    <xf numFmtId="4" fontId="59" fillId="55" borderId="0">
      <alignment horizontal="left" vertical="center" indent="1"/>
    </xf>
    <xf numFmtId="4" fontId="59" fillId="55" borderId="0">
      <alignment horizontal="left" vertical="center" indent="1"/>
    </xf>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4" fillId="97" borderId="67" applyNumberFormat="0" applyFont="0" applyAlignment="0"/>
    <xf numFmtId="0" fontId="4" fillId="97" borderId="67" applyNumberFormat="0" applyFont="0" applyAlignment="0"/>
    <xf numFmtId="0" fontId="4" fillId="97" borderId="67" applyNumberFormat="0" applyFont="0" applyAlignment="0"/>
    <xf numFmtId="0" fontId="4" fillId="97" borderId="67" applyNumberFormat="0" applyFont="0" applyAlignment="0"/>
    <xf numFmtId="0" fontId="4" fillId="97" borderId="67" applyNumberFormat="0" applyFont="0" applyAlignment="0"/>
    <xf numFmtId="0" fontId="4" fillId="97" borderId="67" applyNumberFormat="0" applyFont="0" applyAlignment="0"/>
    <xf numFmtId="0" fontId="4" fillId="97" borderId="67" applyNumberFormat="0" applyFont="0" applyAlignment="0"/>
    <xf numFmtId="4" fontId="59" fillId="88" borderId="0">
      <alignment horizontal="left" vertical="center" indent="1"/>
    </xf>
    <xf numFmtId="4" fontId="59" fillId="88" borderId="0">
      <alignment horizontal="left" vertical="center" indent="1"/>
    </xf>
    <xf numFmtId="4" fontId="59" fillId="88" borderId="0">
      <alignment horizontal="left" vertical="center" indent="1"/>
    </xf>
    <xf numFmtId="4" fontId="59" fillId="88" borderId="0">
      <alignment horizontal="left" vertical="center" indent="1"/>
    </xf>
    <xf numFmtId="4" fontId="59" fillId="88" borderId="0">
      <alignment horizontal="left" vertical="center" indent="1"/>
    </xf>
    <xf numFmtId="4" fontId="59" fillId="88" borderId="0">
      <alignment horizontal="left" vertical="center" indent="1"/>
    </xf>
    <xf numFmtId="4" fontId="38" fillId="82" borderId="65">
      <alignment vertical="center"/>
    </xf>
    <xf numFmtId="4" fontId="38" fillId="82" borderId="65">
      <alignment vertical="center"/>
    </xf>
    <xf numFmtId="4" fontId="38" fillId="82" borderId="65">
      <alignment vertical="center"/>
    </xf>
    <xf numFmtId="4" fontId="38" fillId="82" borderId="65">
      <alignment vertical="center"/>
    </xf>
    <xf numFmtId="4" fontId="38" fillId="82" borderId="65">
      <alignment vertical="center"/>
    </xf>
    <xf numFmtId="4" fontId="38" fillId="82" borderId="65">
      <alignment vertical="center"/>
    </xf>
    <xf numFmtId="4" fontId="38" fillId="82" borderId="65">
      <alignment vertical="center"/>
    </xf>
    <xf numFmtId="4" fontId="125" fillId="82" borderId="65">
      <alignment vertical="center"/>
    </xf>
    <xf numFmtId="4" fontId="125" fillId="82" borderId="65">
      <alignment vertical="center"/>
    </xf>
    <xf numFmtId="4" fontId="125" fillId="82" borderId="65">
      <alignment vertical="center"/>
    </xf>
    <xf numFmtId="4" fontId="125" fillId="82" borderId="65">
      <alignment vertical="center"/>
    </xf>
    <xf numFmtId="4" fontId="125" fillId="82" borderId="65">
      <alignment vertical="center"/>
    </xf>
    <xf numFmtId="4" fontId="125" fillId="82" borderId="65">
      <alignment vertical="center"/>
    </xf>
    <xf numFmtId="4" fontId="125" fillId="82" borderId="65">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126" fillId="87" borderId="68">
      <alignment vertical="center"/>
    </xf>
    <xf numFmtId="4" fontId="126" fillId="87" borderId="68">
      <alignment vertical="center"/>
    </xf>
    <xf numFmtId="4" fontId="126" fillId="87" borderId="68">
      <alignment vertical="center"/>
    </xf>
    <xf numFmtId="4" fontId="126" fillId="87" borderId="68">
      <alignment vertical="center"/>
    </xf>
    <xf numFmtId="4" fontId="126" fillId="87" borderId="68">
      <alignment vertical="center"/>
    </xf>
    <xf numFmtId="4" fontId="126" fillId="87" borderId="68">
      <alignment vertical="center"/>
    </xf>
    <xf numFmtId="4" fontId="126" fillId="87" borderId="68">
      <alignment vertical="center"/>
    </xf>
    <xf numFmtId="4" fontId="74" fillId="87" borderId="68">
      <alignment vertical="center"/>
    </xf>
    <xf numFmtId="4" fontId="74" fillId="87" borderId="68">
      <alignment vertical="center"/>
    </xf>
    <xf numFmtId="4" fontId="74" fillId="87" borderId="68">
      <alignment vertical="center"/>
    </xf>
    <xf numFmtId="4" fontId="74" fillId="87" borderId="68">
      <alignment vertical="center"/>
    </xf>
    <xf numFmtId="4" fontId="74" fillId="87" borderId="68">
      <alignment vertical="center"/>
    </xf>
    <xf numFmtId="4" fontId="74" fillId="87" borderId="68">
      <alignment vertical="center"/>
    </xf>
    <xf numFmtId="4" fontId="74" fillId="87" borderId="68">
      <alignment vertical="center"/>
    </xf>
    <xf numFmtId="4" fontId="120" fillId="55" borderId="69">
      <alignment horizontal="left" vertical="center" indent="1"/>
    </xf>
    <xf numFmtId="4" fontId="120" fillId="55" borderId="69">
      <alignment horizontal="left" vertical="center" indent="1"/>
    </xf>
    <xf numFmtId="4" fontId="120" fillId="55" borderId="69">
      <alignment horizontal="left" vertical="center" indent="1"/>
    </xf>
    <xf numFmtId="4" fontId="120" fillId="55" borderId="69">
      <alignment horizontal="left" vertical="center" indent="1"/>
    </xf>
    <xf numFmtId="4" fontId="120" fillId="55" borderId="69">
      <alignment horizontal="left" vertical="center" indent="1"/>
    </xf>
    <xf numFmtId="4" fontId="120" fillId="55" borderId="69">
      <alignment horizontal="left" vertical="center" indent="1"/>
    </xf>
    <xf numFmtId="4" fontId="120" fillId="55" borderId="69">
      <alignment horizontal="left" vertical="center" indent="1"/>
    </xf>
    <xf numFmtId="4" fontId="38" fillId="98" borderId="65">
      <alignment horizontal="right" vertical="center"/>
    </xf>
    <xf numFmtId="4" fontId="38" fillId="98" borderId="65">
      <alignment horizontal="right" vertical="center"/>
    </xf>
    <xf numFmtId="4" fontId="38" fillId="98" borderId="65">
      <alignment horizontal="right" vertical="center"/>
    </xf>
    <xf numFmtId="4" fontId="38" fillId="98" borderId="65">
      <alignment horizontal="right" vertical="center"/>
    </xf>
    <xf numFmtId="4" fontId="38" fillId="98" borderId="65">
      <alignment horizontal="right" vertical="center"/>
    </xf>
    <xf numFmtId="4" fontId="38" fillId="98" borderId="65">
      <alignment horizontal="right" vertical="center"/>
    </xf>
    <xf numFmtId="4" fontId="38" fillId="98" borderId="65">
      <alignment horizontal="right" vertical="center"/>
    </xf>
    <xf numFmtId="4" fontId="125" fillId="82" borderId="65">
      <alignment horizontal="right" vertical="center"/>
    </xf>
    <xf numFmtId="4" fontId="125" fillId="82" borderId="65">
      <alignment horizontal="right" vertical="center"/>
    </xf>
    <xf numFmtId="4" fontId="125" fillId="82" borderId="65">
      <alignment horizontal="right" vertical="center"/>
    </xf>
    <xf numFmtId="4" fontId="125" fillId="82" borderId="65">
      <alignment horizontal="right" vertical="center"/>
    </xf>
    <xf numFmtId="4" fontId="125" fillId="82" borderId="65">
      <alignment horizontal="right" vertical="center"/>
    </xf>
    <xf numFmtId="4" fontId="125" fillId="82" borderId="65">
      <alignment horizontal="right" vertical="center"/>
    </xf>
    <xf numFmtId="4" fontId="125" fillId="82" borderId="65">
      <alignment horizontal="righ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8" fillId="86" borderId="68">
      <alignment vertical="center"/>
    </xf>
    <xf numFmtId="4" fontId="128" fillId="86" borderId="68">
      <alignment vertical="center"/>
    </xf>
    <xf numFmtId="4" fontId="128" fillId="86" borderId="68">
      <alignment vertical="center"/>
    </xf>
    <xf numFmtId="4" fontId="128" fillId="86" borderId="68">
      <alignment vertical="center"/>
    </xf>
    <xf numFmtId="4" fontId="128" fillId="86" borderId="68">
      <alignment vertical="center"/>
    </xf>
    <xf numFmtId="4" fontId="128" fillId="86" borderId="68">
      <alignment vertical="center"/>
    </xf>
    <xf numFmtId="4" fontId="128" fillId="86" borderId="68">
      <alignment vertical="center"/>
    </xf>
    <xf numFmtId="4" fontId="127" fillId="87" borderId="68">
      <alignment vertical="center"/>
    </xf>
    <xf numFmtId="4" fontId="127" fillId="87" borderId="68">
      <alignment vertical="center"/>
    </xf>
    <xf numFmtId="4" fontId="127" fillId="87" borderId="68">
      <alignment vertical="center"/>
    </xf>
    <xf numFmtId="4" fontId="127" fillId="87" borderId="68">
      <alignment vertical="center"/>
    </xf>
    <xf numFmtId="4" fontId="127" fillId="87" borderId="68">
      <alignment vertical="center"/>
    </xf>
    <xf numFmtId="4" fontId="127" fillId="87" borderId="68">
      <alignment vertical="center"/>
    </xf>
    <xf numFmtId="4" fontId="127" fillId="87" borderId="68">
      <alignment vertical="center"/>
    </xf>
    <xf numFmtId="4" fontId="128" fillId="89" borderId="68">
      <alignment vertical="center"/>
    </xf>
    <xf numFmtId="4" fontId="128" fillId="89" borderId="68">
      <alignment vertical="center"/>
    </xf>
    <xf numFmtId="4" fontId="128" fillId="89" borderId="68">
      <alignment vertical="center"/>
    </xf>
    <xf numFmtId="4" fontId="128" fillId="89" borderId="68">
      <alignment vertical="center"/>
    </xf>
    <xf numFmtId="4" fontId="128" fillId="89" borderId="68">
      <alignment vertical="center"/>
    </xf>
    <xf numFmtId="4" fontId="128" fillId="89" borderId="68">
      <alignment vertical="center"/>
    </xf>
    <xf numFmtId="4" fontId="128" fillId="89" borderId="68">
      <alignment vertical="center"/>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55" borderId="65">
      <alignment horizontal="right" vertical="center"/>
    </xf>
    <xf numFmtId="4" fontId="120" fillId="55" borderId="65">
      <alignment horizontal="right" vertical="center"/>
    </xf>
    <xf numFmtId="4" fontId="120" fillId="55" borderId="65">
      <alignment horizontal="right" vertical="center"/>
    </xf>
    <xf numFmtId="4" fontId="120" fillId="55" borderId="65">
      <alignment horizontal="right" vertical="center"/>
    </xf>
    <xf numFmtId="4" fontId="120" fillId="55" borderId="65">
      <alignment horizontal="right" vertical="center"/>
    </xf>
    <xf numFmtId="4" fontId="120" fillId="55" borderId="65">
      <alignment horizontal="right" vertical="center"/>
    </xf>
    <xf numFmtId="4" fontId="120" fillId="55" borderId="65">
      <alignment horizontal="right" vertical="center"/>
    </xf>
    <xf numFmtId="4" fontId="120" fillId="55" borderId="65">
      <alignment horizontal="left" vertical="center" indent="1"/>
    </xf>
    <xf numFmtId="4" fontId="120" fillId="55" borderId="65">
      <alignment horizontal="left" vertical="center" indent="1"/>
    </xf>
    <xf numFmtId="4" fontId="120" fillId="55" borderId="65">
      <alignment horizontal="left" vertical="center" indent="1"/>
    </xf>
    <xf numFmtId="4" fontId="120" fillId="55" borderId="65">
      <alignment horizontal="left" vertical="center" indent="1"/>
    </xf>
    <xf numFmtId="4" fontId="120" fillId="55" borderId="65">
      <alignment horizontal="left" vertical="center" indent="1"/>
    </xf>
    <xf numFmtId="4" fontId="120" fillId="55" borderId="65">
      <alignment horizontal="left" vertical="center" indent="1"/>
    </xf>
    <xf numFmtId="4" fontId="120" fillId="55" borderId="65">
      <alignment horizontal="left" vertical="center" indent="1"/>
    </xf>
    <xf numFmtId="4" fontId="120" fillId="82" borderId="65">
      <alignment horizontal="left" vertical="center" indent="1"/>
    </xf>
    <xf numFmtId="4" fontId="120" fillId="82" borderId="65">
      <alignment horizontal="left" vertical="center" indent="1"/>
    </xf>
    <xf numFmtId="4" fontId="120" fillId="82" borderId="65">
      <alignment horizontal="left" vertical="center" indent="1"/>
    </xf>
    <xf numFmtId="4" fontId="120" fillId="82" borderId="65">
      <alignment horizontal="left" vertical="center" indent="1"/>
    </xf>
    <xf numFmtId="4" fontId="120" fillId="82" borderId="65">
      <alignment horizontal="left" vertical="center" indent="1"/>
    </xf>
    <xf numFmtId="4" fontId="120" fillId="82" borderId="65">
      <alignment horizontal="left" vertical="center" indent="1"/>
    </xf>
    <xf numFmtId="4" fontId="120" fillId="82" borderId="65">
      <alignment horizontal="left" vertical="center" indent="1"/>
    </xf>
    <xf numFmtId="4" fontId="120"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1" fillId="82" borderId="65">
      <alignment vertical="center"/>
    </xf>
    <xf numFmtId="4" fontId="121" fillId="82" borderId="65">
      <alignment vertical="center"/>
    </xf>
    <xf numFmtId="4" fontId="121" fillId="82" borderId="65">
      <alignment vertical="center"/>
    </xf>
    <xf numFmtId="4" fontId="121" fillId="82" borderId="65">
      <alignment vertical="center"/>
    </xf>
    <xf numFmtId="4" fontId="121" fillId="82" borderId="65">
      <alignment vertical="center"/>
    </xf>
    <xf numFmtId="4" fontId="121" fillId="82" borderId="65">
      <alignment vertical="center"/>
    </xf>
    <xf numFmtId="4" fontId="121" fillId="82" borderId="65">
      <alignment vertical="center"/>
    </xf>
    <xf numFmtId="4" fontId="122"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3" fillId="86" borderId="70">
      <alignment vertical="center"/>
    </xf>
    <xf numFmtId="4" fontId="123" fillId="86" borderId="70">
      <alignment vertical="center"/>
    </xf>
    <xf numFmtId="4" fontId="123" fillId="86" borderId="70">
      <alignment vertical="center"/>
    </xf>
    <xf numFmtId="4" fontId="123" fillId="86" borderId="70">
      <alignment vertical="center"/>
    </xf>
    <xf numFmtId="4" fontId="123" fillId="86" borderId="70">
      <alignment vertical="center"/>
    </xf>
    <xf numFmtId="4" fontId="123" fillId="86" borderId="70">
      <alignment vertical="center"/>
    </xf>
    <xf numFmtId="4" fontId="123" fillId="86" borderId="70">
      <alignment vertical="center"/>
    </xf>
    <xf numFmtId="4" fontId="122"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23" fillId="87" borderId="68">
      <alignment vertical="center"/>
    </xf>
    <xf numFmtId="4" fontId="123" fillId="87" borderId="68">
      <alignment vertical="center"/>
    </xf>
    <xf numFmtId="4" fontId="123" fillId="87" borderId="68">
      <alignment vertical="center"/>
    </xf>
    <xf numFmtId="4" fontId="123" fillId="87" borderId="68">
      <alignment vertical="center"/>
    </xf>
    <xf numFmtId="4" fontId="123" fillId="87" borderId="68">
      <alignment vertical="center"/>
    </xf>
    <xf numFmtId="4" fontId="123" fillId="87" borderId="68">
      <alignment vertical="center"/>
    </xf>
    <xf numFmtId="4" fontId="123" fillId="87" borderId="68">
      <alignment vertical="center"/>
    </xf>
    <xf numFmtId="4" fontId="120" fillId="59" borderId="65">
      <alignment horizontal="left" vertical="center" indent="1"/>
    </xf>
    <xf numFmtId="4" fontId="120" fillId="59" borderId="65">
      <alignment horizontal="left" vertical="center" indent="1"/>
    </xf>
    <xf numFmtId="4" fontId="120" fillId="59" borderId="65">
      <alignment horizontal="left" vertical="center" indent="1"/>
    </xf>
    <xf numFmtId="4" fontId="120" fillId="59" borderId="65">
      <alignment horizontal="left" vertical="center" indent="1"/>
    </xf>
    <xf numFmtId="4" fontId="120" fillId="59" borderId="65">
      <alignment horizontal="left" vertical="center" indent="1"/>
    </xf>
    <xf numFmtId="4" fontId="120" fillId="59" borderId="65">
      <alignment horizontal="left" vertical="center" indent="1"/>
    </xf>
    <xf numFmtId="4" fontId="120" fillId="59" borderId="65">
      <alignment horizontal="left" vertical="center" indent="1"/>
    </xf>
    <xf numFmtId="4" fontId="129" fillId="84" borderId="0">
      <alignment horizontal="left" vertical="center" indent="1"/>
    </xf>
    <xf numFmtId="4" fontId="129" fillId="84" borderId="0">
      <alignment horizontal="left" vertical="center" indent="1"/>
    </xf>
    <xf numFmtId="4" fontId="129" fillId="84" borderId="0">
      <alignment horizontal="left" vertical="center" indent="1"/>
    </xf>
    <xf numFmtId="4" fontId="129" fillId="84" borderId="0">
      <alignment horizontal="left" vertical="center" indent="1"/>
    </xf>
    <xf numFmtId="4" fontId="129" fillId="84" borderId="0">
      <alignment horizontal="left" vertical="center" indent="1"/>
    </xf>
    <xf numFmtId="4" fontId="129" fillId="84" borderId="0">
      <alignment horizontal="left" vertical="center" indent="1"/>
    </xf>
    <xf numFmtId="4" fontId="104" fillId="82" borderId="65">
      <alignment horizontal="right" vertical="center"/>
    </xf>
    <xf numFmtId="4" fontId="104" fillId="82" borderId="65">
      <alignment horizontal="right" vertical="center"/>
    </xf>
    <xf numFmtId="4" fontId="104" fillId="82" borderId="65">
      <alignment horizontal="right" vertical="center"/>
    </xf>
    <xf numFmtId="4" fontId="104" fillId="82" borderId="65">
      <alignment horizontal="right" vertical="center"/>
    </xf>
    <xf numFmtId="4" fontId="104" fillId="82" borderId="65">
      <alignment horizontal="right" vertical="center"/>
    </xf>
    <xf numFmtId="4" fontId="104" fillId="82" borderId="65">
      <alignment horizontal="right" vertical="center"/>
    </xf>
    <xf numFmtId="4" fontId="104" fillId="82" borderId="65">
      <alignment horizontal="right" vertical="center"/>
    </xf>
    <xf numFmtId="182" fontId="68" fillId="99" borderId="0" applyNumberFormat="0" applyFont="0" applyBorder="0" applyAlignment="0" applyProtection="0"/>
    <xf numFmtId="182" fontId="130" fillId="60" borderId="0" applyNumberFormat="0" applyFont="0" applyBorder="0" applyAlignment="0" applyProtection="0">
      <alignment horizontal="center"/>
    </xf>
    <xf numFmtId="182" fontId="131" fillId="0" borderId="0" applyNumberFormat="0" applyFill="0" applyBorder="0" applyAlignment="0" applyProtection="0"/>
    <xf numFmtId="182" fontId="132" fillId="0" borderId="0"/>
    <xf numFmtId="176" fontId="4" fillId="0" borderId="0">
      <alignment horizontal="left" wrapText="1"/>
    </xf>
    <xf numFmtId="182" fontId="59" fillId="0" borderId="0">
      <alignment vertical="top"/>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38" fontId="62" fillId="0" borderId="0" applyFont="0" applyFill="0" applyBorder="0" applyAlignment="0" applyProtection="0"/>
    <xf numFmtId="0" fontId="59" fillId="0" borderId="0">
      <alignment vertical="top"/>
    </xf>
    <xf numFmtId="182" fontId="59" fillId="0" borderId="0">
      <alignment vertical="top"/>
    </xf>
    <xf numFmtId="182" fontId="59" fillId="0" borderId="0">
      <alignment vertical="top"/>
    </xf>
    <xf numFmtId="38" fontId="62" fillId="0" borderId="0" applyFont="0" applyFill="0" applyBorder="0" applyAlignment="0" applyProtection="0"/>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38" fontId="62" fillId="0" borderId="0" applyFont="0" applyFill="0" applyBorder="0" applyAlignment="0" applyProtection="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3" fillId="99" borderId="0" applyNumberFormat="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135" fillId="99" borderId="0" applyNumberFormat="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Alignment="0" applyProtection="0"/>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72" fillId="100" borderId="0" applyNumberFormat="0" applyBorder="0" applyProtection="0">
      <alignment horizontal="center"/>
    </xf>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136" fillId="100" borderId="0" applyNumberFormat="0" applyBorder="0" applyAlignment="0" applyProtection="0"/>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138" fillId="0" borderId="0"/>
    <xf numFmtId="182" fontId="139" fillId="55" borderId="0"/>
    <xf numFmtId="182" fontId="81" fillId="0" borderId="0"/>
    <xf numFmtId="182" fontId="50" fillId="0" borderId="0" applyFill="0" applyBorder="0" applyProtection="0">
      <alignment horizontal="center" vertical="center"/>
    </xf>
    <xf numFmtId="182" fontId="140" fillId="0" borderId="0" applyBorder="0" applyProtection="0">
      <alignment vertical="center"/>
    </xf>
    <xf numFmtId="182" fontId="140" fillId="0" borderId="4" applyBorder="0" applyProtection="0">
      <alignment horizontal="right" vertical="center"/>
    </xf>
    <xf numFmtId="182" fontId="141" fillId="101" borderId="0" applyBorder="0" applyProtection="0">
      <alignment horizontal="centerContinuous" vertical="center"/>
    </xf>
    <xf numFmtId="182" fontId="141" fillId="100" borderId="4" applyBorder="0" applyProtection="0">
      <alignment horizontal="centerContinuous" vertical="center"/>
    </xf>
    <xf numFmtId="182" fontId="50" fillId="0" borderId="0" applyFill="0" applyBorder="0" applyProtection="0"/>
    <xf numFmtId="182" fontId="7" fillId="0" borderId="0" applyFill="0" applyBorder="0" applyProtection="0">
      <alignment horizontal="left"/>
    </xf>
    <xf numFmtId="182" fontId="86" fillId="0" borderId="49" applyFill="0" applyBorder="0" applyProtection="0">
      <alignment horizontal="left" vertical="top"/>
    </xf>
    <xf numFmtId="49" fontId="4" fillId="0" borderId="0" applyFont="0" applyFill="0" applyBorder="0" applyAlignment="0" applyProtection="0"/>
    <xf numFmtId="209" fontId="142" fillId="0" borderId="0"/>
    <xf numFmtId="40" fontId="143" fillId="0" borderId="0"/>
    <xf numFmtId="0" fontId="55" fillId="0" borderId="0" applyNumberFormat="0" applyFill="0" applyBorder="0" applyAlignment="0" applyProtection="0"/>
    <xf numFmtId="0" fontId="55" fillId="0" borderId="0" applyNumberFormat="0" applyFill="0" applyBorder="0" applyAlignment="0" applyProtection="0"/>
    <xf numFmtId="182" fontId="55"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182" fontId="55" fillId="0" borderId="0" applyNumberFormat="0" applyFill="0" applyBorder="0" applyAlignment="0" applyProtection="0"/>
    <xf numFmtId="0" fontId="131" fillId="0" borderId="0" applyNumberFormat="0" applyFill="0" applyBorder="0" applyAlignment="0" applyProtection="0"/>
    <xf numFmtId="182"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0" fontId="2" fillId="0" borderId="34" applyNumberFormat="0" applyFill="0" applyAlignment="0" applyProtection="0"/>
    <xf numFmtId="179" fontId="4" fillId="0" borderId="22">
      <protection locked="0"/>
    </xf>
    <xf numFmtId="0" fontId="56" fillId="0" borderId="47" applyNumberFormat="0" applyFill="0" applyAlignment="0" applyProtection="0"/>
    <xf numFmtId="0" fontId="144" fillId="0" borderId="47" applyNumberFormat="0" applyFill="0" applyAlignment="0" applyProtection="0"/>
    <xf numFmtId="0" fontId="144" fillId="0" borderId="47" applyNumberFormat="0" applyFill="0" applyAlignment="0" applyProtection="0"/>
    <xf numFmtId="0" fontId="56" fillId="0" borderId="47" applyNumberFormat="0" applyFill="0" applyAlignment="0" applyProtection="0"/>
    <xf numFmtId="0" fontId="56" fillId="0" borderId="47" applyNumberFormat="0" applyFill="0" applyAlignment="0" applyProtection="0"/>
    <xf numFmtId="0" fontId="56" fillId="0" borderId="47" applyNumberFormat="0" applyFill="0" applyAlignment="0" applyProtection="0"/>
    <xf numFmtId="182"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0" fontId="56" fillId="0" borderId="47" applyNumberFormat="0" applyFill="0" applyAlignment="0" applyProtection="0"/>
    <xf numFmtId="0" fontId="144" fillId="0" borderId="47" applyNumberFormat="0" applyFill="0" applyAlignment="0" applyProtection="0"/>
    <xf numFmtId="0"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82" fontId="56" fillId="0" borderId="47" applyNumberFormat="0" applyFill="0" applyAlignment="0" applyProtection="0"/>
    <xf numFmtId="179" fontId="4" fillId="0" borderId="22">
      <protection locked="0"/>
    </xf>
    <xf numFmtId="179" fontId="4" fillId="0" borderId="22">
      <protection locked="0"/>
    </xf>
    <xf numFmtId="182" fontId="56" fillId="0" borderId="47" applyNumberFormat="0" applyFill="0" applyAlignment="0" applyProtection="0"/>
    <xf numFmtId="182"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82" fontId="56" fillId="0" borderId="47" applyNumberFormat="0" applyFill="0" applyAlignment="0" applyProtection="0"/>
    <xf numFmtId="179" fontId="4" fillId="0" borderId="22">
      <protection locked="0"/>
    </xf>
    <xf numFmtId="182" fontId="56" fillId="0" borderId="71"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200" fontId="145" fillId="0" borderId="0">
      <alignment horizontal="left"/>
      <protection locked="0"/>
    </xf>
    <xf numFmtId="3" fontId="146" fillId="0" borderId="0">
      <alignment horizontal="left"/>
    </xf>
    <xf numFmtId="182" fontId="147" fillId="0" borderId="0" applyNumberFormat="0" applyFont="0" applyFill="0"/>
    <xf numFmtId="37" fontId="13" fillId="63" borderId="0" applyNumberFormat="0" applyBorder="0" applyAlignment="0" applyProtection="0"/>
    <xf numFmtId="37" fontId="13" fillId="63" borderId="0" applyNumberFormat="0" applyBorder="0" applyAlignment="0" applyProtection="0"/>
    <xf numFmtId="37" fontId="13" fillId="63" borderId="0" applyNumberFormat="0" applyBorder="0" applyAlignment="0" applyProtection="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63" borderId="0" applyNumberFormat="0" applyBorder="0" applyAlignment="0" applyProtection="0"/>
    <xf numFmtId="14" fontId="130" fillId="0" borderId="0" applyNumberFormat="0" applyFont="0" applyBorder="0" applyAlignment="0" applyProtection="0">
      <alignment horizontal="center"/>
    </xf>
    <xf numFmtId="182" fontId="148" fillId="102" borderId="0"/>
    <xf numFmtId="0" fontId="58" fillId="0" borderId="0" applyNumberFormat="0" applyFill="0" applyBorder="0" applyAlignment="0" applyProtection="0"/>
    <xf numFmtId="0" fontId="58" fillId="0" borderId="0" applyNumberFormat="0" applyFill="0" applyBorder="0" applyAlignment="0" applyProtection="0"/>
    <xf numFmtId="182"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149" fillId="0" borderId="0" applyNumberFormat="0" applyFill="0" applyBorder="0" applyAlignment="0" applyProtection="0"/>
    <xf numFmtId="0" fontId="58" fillId="0" borderId="0" applyNumberFormat="0" applyFill="0" applyBorder="0" applyAlignment="0" applyProtection="0"/>
    <xf numFmtId="182"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7" fillId="0" borderId="0" applyNumberFormat="0" applyFill="0" applyBorder="0" applyAlignment="0" applyProtection="0"/>
    <xf numFmtId="0" fontId="58"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58" fillId="0" borderId="0" applyNumberFormat="0" applyFill="0" applyBorder="0" applyAlignment="0" applyProtection="0"/>
    <xf numFmtId="182" fontId="150" fillId="0" borderId="0" applyAlignment="0">
      <alignment horizontal="center"/>
    </xf>
    <xf numFmtId="0" fontId="69" fillId="0" borderId="4" applyNumberFormat="0" applyFill="0" applyAlignment="0" applyProtection="0"/>
    <xf numFmtId="0" fontId="4" fillId="0" borderId="0"/>
    <xf numFmtId="43" fontId="33" fillId="0" borderId="0" applyFont="0" applyFill="0" applyBorder="0" applyAlignment="0" applyProtection="0"/>
    <xf numFmtId="0" fontId="4" fillId="0" borderId="0"/>
    <xf numFmtId="0" fontId="4" fillId="0" borderId="0"/>
    <xf numFmtId="0" fontId="4" fillId="0" borderId="0"/>
    <xf numFmtId="0" fontId="1" fillId="0" borderId="0"/>
    <xf numFmtId="0" fontId="156" fillId="0" borderId="0" applyNumberFormat="0" applyFill="0" applyBorder="0" applyAlignment="0" applyProtection="0"/>
  </cellStyleXfs>
  <cellXfs count="617">
    <xf numFmtId="0" fontId="0" fillId="0" borderId="0" xfId="0"/>
    <xf numFmtId="0" fontId="2" fillId="0" borderId="0" xfId="0" applyFont="1"/>
    <xf numFmtId="0" fontId="0" fillId="0" borderId="2" xfId="0" applyBorder="1"/>
    <xf numFmtId="164" fontId="0" fillId="0" borderId="0" xfId="1" applyNumberFormat="1" applyFont="1"/>
    <xf numFmtId="0" fontId="2" fillId="0" borderId="0" xfId="0" applyFont="1" applyAlignment="1">
      <alignment horizontal="center"/>
    </xf>
    <xf numFmtId="0" fontId="2" fillId="0" borderId="5" xfId="0" applyFont="1" applyBorder="1"/>
    <xf numFmtId="0" fontId="0" fillId="0" borderId="6" xfId="0" applyBorder="1"/>
    <xf numFmtId="164" fontId="0" fillId="0" borderId="6" xfId="1" applyNumberFormat="1" applyFont="1" applyBorder="1"/>
    <xf numFmtId="0" fontId="0" fillId="0" borderId="7" xfId="0" applyBorder="1"/>
    <xf numFmtId="0" fontId="0" fillId="0" borderId="8" xfId="0" applyBorder="1"/>
    <xf numFmtId="164" fontId="0" fillId="0" borderId="0" xfId="1" applyNumberFormat="1" applyFont="1" applyBorder="1"/>
    <xf numFmtId="0" fontId="0" fillId="0" borderId="9" xfId="0" applyBorder="1"/>
    <xf numFmtId="0" fontId="3" fillId="0" borderId="0" xfId="0" applyFont="1"/>
    <xf numFmtId="164" fontId="3" fillId="0" borderId="0" xfId="1" applyNumberFormat="1" applyFont="1" applyBorder="1"/>
    <xf numFmtId="0" fontId="0" fillId="0" borderId="10" xfId="0" applyBorder="1"/>
    <xf numFmtId="0" fontId="0" fillId="0" borderId="11" xfId="0" applyBorder="1"/>
    <xf numFmtId="164" fontId="0" fillId="0" borderId="11" xfId="1" applyNumberFormat="1" applyFont="1" applyBorder="1"/>
    <xf numFmtId="0" fontId="0" fillId="0" borderId="12" xfId="0" applyBorder="1"/>
    <xf numFmtId="164" fontId="0" fillId="0" borderId="13" xfId="1" applyNumberFormat="1" applyFont="1" applyBorder="1"/>
    <xf numFmtId="10" fontId="0" fillId="0" borderId="0" xfId="2" applyNumberFormat="1" applyFont="1" applyBorder="1"/>
    <xf numFmtId="0" fontId="2" fillId="0" borderId="8" xfId="0" applyFont="1" applyBorder="1"/>
    <xf numFmtId="0" fontId="0" fillId="0" borderId="5" xfId="0" applyBorder="1"/>
    <xf numFmtId="0" fontId="3" fillId="0" borderId="6" xfId="0" applyFont="1" applyBorder="1"/>
    <xf numFmtId="0" fontId="3" fillId="0" borderId="10" xfId="0" applyFont="1" applyBorder="1"/>
    <xf numFmtId="0" fontId="5" fillId="0" borderId="8" xfId="0" applyFont="1" applyBorder="1"/>
    <xf numFmtId="0" fontId="5" fillId="0" borderId="0" xfId="0" applyFont="1"/>
    <xf numFmtId="164" fontId="1" fillId="0" borderId="0" xfId="1" applyNumberFormat="1" applyFont="1" applyFill="1" applyBorder="1"/>
    <xf numFmtId="164" fontId="1" fillId="0" borderId="0" xfId="1" applyNumberFormat="1" applyFont="1" applyBorder="1"/>
    <xf numFmtId="10" fontId="1" fillId="0" borderId="4" xfId="2" applyNumberFormat="1" applyFont="1" applyFill="1" applyBorder="1"/>
    <xf numFmtId="164" fontId="1" fillId="0" borderId="13" xfId="1" applyNumberFormat="1" applyFont="1" applyFill="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43" fontId="0" fillId="0" borderId="0" xfId="1" applyFont="1" applyBorder="1"/>
    <xf numFmtId="0" fontId="5" fillId="0" borderId="10" xfId="0" applyFont="1" applyBorder="1"/>
    <xf numFmtId="164" fontId="1" fillId="0" borderId="11" xfId="1" applyNumberFormat="1" applyFont="1" applyBorder="1"/>
    <xf numFmtId="41" fontId="2" fillId="0" borderId="0" xfId="0" applyNumberFormat="1" applyFont="1"/>
    <xf numFmtId="41" fontId="0" fillId="0" borderId="0" xfId="0" applyNumberFormat="1"/>
    <xf numFmtId="41" fontId="2" fillId="0" borderId="0" xfId="0" applyNumberFormat="1" applyFont="1" applyAlignment="1">
      <alignment horizontal="center" wrapText="1"/>
    </xf>
    <xf numFmtId="10" fontId="0" fillId="0" borderId="0" xfId="0" applyNumberFormat="1"/>
    <xf numFmtId="41" fontId="0" fillId="0" borderId="4" xfId="0" applyNumberFormat="1" applyBorder="1"/>
    <xf numFmtId="10" fontId="0" fillId="0" borderId="4" xfId="0" applyNumberFormat="1" applyBorder="1"/>
    <xf numFmtId="43" fontId="0" fillId="0" borderId="0" xfId="0" applyNumberFormat="1"/>
    <xf numFmtId="164" fontId="0" fillId="0" borderId="0" xfId="0" applyNumberFormat="1"/>
    <xf numFmtId="41" fontId="2" fillId="0" borderId="15" xfId="0" applyNumberFormat="1" applyFont="1" applyBorder="1" applyAlignment="1">
      <alignment horizontal="left" wrapText="1"/>
    </xf>
    <xf numFmtId="41" fontId="2" fillId="0" borderId="16" xfId="0" applyNumberFormat="1" applyFont="1" applyBorder="1" applyAlignment="1">
      <alignment horizontal="center" wrapText="1"/>
    </xf>
    <xf numFmtId="10" fontId="2" fillId="0" borderId="16" xfId="0" applyNumberFormat="1" applyFont="1" applyBorder="1" applyAlignment="1">
      <alignment horizontal="center" wrapText="1"/>
    </xf>
    <xf numFmtId="41" fontId="0" fillId="0" borderId="8" xfId="0" applyNumberFormat="1" applyBorder="1"/>
    <xf numFmtId="41" fontId="0" fillId="0" borderId="9" xfId="0" applyNumberFormat="1" applyBorder="1"/>
    <xf numFmtId="41" fontId="0" fillId="0" borderId="11" xfId="0" applyNumberFormat="1" applyBorder="1"/>
    <xf numFmtId="10" fontId="0" fillId="0" borderId="11" xfId="0" applyNumberFormat="1" applyBorder="1"/>
    <xf numFmtId="41" fontId="2" fillId="0" borderId="18" xfId="0" applyNumberFormat="1" applyFont="1" applyBorder="1" applyAlignment="1">
      <alignment horizontal="center" wrapText="1"/>
    </xf>
    <xf numFmtId="41" fontId="2" fillId="0" borderId="8" xfId="0" applyNumberFormat="1" applyFont="1" applyBorder="1"/>
    <xf numFmtId="41" fontId="0" fillId="0" borderId="17" xfId="0" applyNumberFormat="1" applyBorder="1"/>
    <xf numFmtId="41" fontId="2" fillId="0" borderId="15" xfId="0" applyNumberFormat="1" applyFont="1" applyBorder="1"/>
    <xf numFmtId="41" fontId="2" fillId="0" borderId="19" xfId="0" applyNumberFormat="1" applyFont="1" applyBorder="1"/>
    <xf numFmtId="41" fontId="2" fillId="0" borderId="20" xfId="0" applyNumberFormat="1" applyFont="1" applyBorder="1"/>
    <xf numFmtId="10" fontId="2" fillId="0" borderId="20" xfId="0" applyNumberFormat="1" applyFont="1" applyBorder="1"/>
    <xf numFmtId="41" fontId="2" fillId="0" borderId="12" xfId="0" applyNumberFormat="1" applyFont="1" applyBorder="1"/>
    <xf numFmtId="41" fontId="0" fillId="0" borderId="6" xfId="0" applyNumberFormat="1" applyBorder="1"/>
    <xf numFmtId="10" fontId="0" fillId="0" borderId="6" xfId="0" applyNumberFormat="1" applyBorder="1"/>
    <xf numFmtId="41" fontId="2" fillId="0" borderId="1" xfId="0" applyNumberFormat="1" applyFont="1" applyBorder="1"/>
    <xf numFmtId="41" fontId="2" fillId="0" borderId="2" xfId="0" applyNumberFormat="1" applyFont="1" applyBorder="1"/>
    <xf numFmtId="41" fontId="0" fillId="0" borderId="2" xfId="0" applyNumberFormat="1" applyBorder="1"/>
    <xf numFmtId="10" fontId="0" fillId="0" borderId="2" xfId="0" applyNumberFormat="1" applyBorder="1"/>
    <xf numFmtId="10" fontId="0" fillId="0" borderId="0" xfId="2" applyNumberFormat="1" applyFont="1"/>
    <xf numFmtId="0" fontId="0" fillId="0" borderId="0" xfId="0" applyAlignment="1">
      <alignment wrapText="1"/>
    </xf>
    <xf numFmtId="167" fontId="0" fillId="0" borderId="0" xfId="4" applyNumberFormat="1" applyFont="1"/>
    <xf numFmtId="169" fontId="0" fillId="0" borderId="0" xfId="0" applyNumberFormat="1"/>
    <xf numFmtId="164" fontId="0" fillId="0" borderId="0" xfId="1" applyNumberFormat="1" applyFont="1" applyFill="1" applyBorder="1"/>
    <xf numFmtId="0" fontId="7" fillId="0" borderId="0" xfId="6" applyFont="1"/>
    <xf numFmtId="0" fontId="0" fillId="0" borderId="8" xfId="0" applyBorder="1" applyAlignment="1">
      <alignment horizontal="left"/>
    </xf>
    <xf numFmtId="164" fontId="0" fillId="0" borderId="11" xfId="1" applyNumberFormat="1" applyFont="1" applyFill="1" applyBorder="1"/>
    <xf numFmtId="40" fontId="4" fillId="0" borderId="0" xfId="7" applyNumberFormat="1"/>
    <xf numFmtId="0" fontId="7" fillId="0" borderId="5" xfId="6" applyFont="1" applyBorder="1"/>
    <xf numFmtId="0" fontId="0" fillId="0" borderId="8" xfId="0" applyBorder="1" applyAlignment="1">
      <alignment wrapText="1"/>
    </xf>
    <xf numFmtId="0" fontId="3" fillId="0" borderId="0" xfId="0" applyFont="1" applyAlignment="1">
      <alignment wrapText="1"/>
    </xf>
    <xf numFmtId="164" fontId="3" fillId="0" borderId="0" xfId="1" applyNumberFormat="1" applyFont="1" applyBorder="1" applyAlignment="1">
      <alignment wrapText="1"/>
    </xf>
    <xf numFmtId="0" fontId="0" fillId="0" borderId="9" xfId="0" applyBorder="1" applyAlignment="1">
      <alignment wrapText="1"/>
    </xf>
    <xf numFmtId="164" fontId="0" fillId="0" borderId="6" xfId="1" applyNumberFormat="1" applyFont="1" applyFill="1" applyBorder="1"/>
    <xf numFmtId="164" fontId="0" fillId="2" borderId="0" xfId="1" applyNumberFormat="1" applyFont="1" applyFill="1" applyBorder="1"/>
    <xf numFmtId="164" fontId="0" fillId="0" borderId="4" xfId="1" applyNumberFormat="1" applyFont="1" applyBorder="1"/>
    <xf numFmtId="0" fontId="0" fillId="0" borderId="0" xfId="0" applyAlignment="1">
      <alignment horizontal="center"/>
    </xf>
    <xf numFmtId="44" fontId="0" fillId="0" borderId="0" xfId="4" applyFont="1"/>
    <xf numFmtId="167" fontId="0" fillId="0" borderId="0" xfId="0" applyNumberFormat="1"/>
    <xf numFmtId="0" fontId="0" fillId="0" borderId="0" xfId="0" applyAlignment="1">
      <alignment horizontal="center" vertical="center" wrapText="1"/>
    </xf>
    <xf numFmtId="44" fontId="0" fillId="0" borderId="0" xfId="0" applyNumberFormat="1"/>
    <xf numFmtId="10" fontId="1" fillId="0" borderId="0" xfId="2" applyNumberFormat="1" applyFont="1" applyFill="1" applyBorder="1"/>
    <xf numFmtId="41" fontId="0" fillId="0" borderId="3" xfId="0" applyNumberFormat="1" applyBorder="1"/>
    <xf numFmtId="0" fontId="0" fillId="0" borderId="0" xfId="0" applyAlignment="1">
      <alignment horizontal="right"/>
    </xf>
    <xf numFmtId="41" fontId="0" fillId="0" borderId="12" xfId="0" applyNumberFormat="1" applyBorder="1"/>
    <xf numFmtId="10" fontId="0" fillId="2" borderId="0" xfId="2" applyNumberFormat="1" applyFont="1" applyFill="1"/>
    <xf numFmtId="0" fontId="2" fillId="0" borderId="0" xfId="0" applyFont="1" applyAlignment="1">
      <alignment wrapText="1"/>
    </xf>
    <xf numFmtId="43" fontId="0" fillId="0" borderId="0" xfId="1" applyFont="1"/>
    <xf numFmtId="169" fontId="0" fillId="0" borderId="0" xfId="1" applyNumberFormat="1" applyFont="1"/>
    <xf numFmtId="170" fontId="0" fillId="0" borderId="0" xfId="4" applyNumberFormat="1" applyFont="1"/>
    <xf numFmtId="167" fontId="0" fillId="0" borderId="0" xfId="4" applyNumberFormat="1" applyFont="1" applyFill="1"/>
    <xf numFmtId="0" fontId="0" fillId="3" borderId="0" xfId="0" applyFill="1"/>
    <xf numFmtId="0" fontId="5" fillId="0" borderId="5" xfId="0" applyFont="1" applyBorder="1"/>
    <xf numFmtId="164" fontId="1" fillId="0" borderId="6" xfId="1" applyNumberFormat="1" applyFont="1" applyBorder="1"/>
    <xf numFmtId="164" fontId="0" fillId="0" borderId="13" xfId="0" applyNumberFormat="1" applyBorder="1"/>
    <xf numFmtId="164" fontId="4" fillId="0" borderId="11" xfId="6" applyNumberFormat="1" applyBorder="1"/>
    <xf numFmtId="164" fontId="0" fillId="4" borderId="0" xfId="1" applyNumberFormat="1" applyFont="1" applyFill="1" applyBorder="1"/>
    <xf numFmtId="164" fontId="0" fillId="4" borderId="4" xfId="1" applyNumberFormat="1" applyFont="1" applyFill="1" applyBorder="1"/>
    <xf numFmtId="0" fontId="4" fillId="0" borderId="0" xfId="6" applyAlignment="1">
      <alignment wrapText="1"/>
    </xf>
    <xf numFmtId="169" fontId="0" fillId="0" borderId="4" xfId="1" applyNumberFormat="1" applyFont="1" applyBorder="1"/>
    <xf numFmtId="167" fontId="0" fillId="0" borderId="4" xfId="4" applyNumberFormat="1" applyFont="1" applyBorder="1"/>
    <xf numFmtId="164" fontId="0" fillId="0" borderId="13" xfId="1" applyNumberFormat="1" applyFont="1" applyFill="1" applyBorder="1"/>
    <xf numFmtId="43" fontId="0" fillId="0" borderId="4" xfId="1" applyFont="1" applyBorder="1"/>
    <xf numFmtId="167" fontId="0" fillId="0" borderId="4" xfId="0" applyNumberFormat="1" applyBorder="1"/>
    <xf numFmtId="9" fontId="0" fillId="0" borderId="0" xfId="2" applyFont="1"/>
    <xf numFmtId="9" fontId="0" fillId="0" borderId="0" xfId="0" applyNumberFormat="1"/>
    <xf numFmtId="164" fontId="0" fillId="0" borderId="0" xfId="1" applyNumberFormat="1" applyFont="1" applyAlignment="1"/>
    <xf numFmtId="164" fontId="0" fillId="0" borderId="23" xfId="1" applyNumberFormat="1" applyFont="1" applyFill="1" applyBorder="1"/>
    <xf numFmtId="167" fontId="0" fillId="0" borderId="23" xfId="4" applyNumberFormat="1" applyFont="1" applyBorder="1"/>
    <xf numFmtId="167" fontId="0" fillId="0" borderId="23" xfId="0" applyNumberFormat="1" applyBorder="1"/>
    <xf numFmtId="167" fontId="0" fillId="0" borderId="21" xfId="4" applyNumberFormat="1" applyFont="1" applyFill="1" applyBorder="1"/>
    <xf numFmtId="44" fontId="0" fillId="2" borderId="0" xfId="4" applyFont="1" applyFill="1"/>
    <xf numFmtId="49" fontId="2" fillId="0" borderId="0" xfId="0" applyNumberFormat="1" applyFont="1" applyAlignment="1">
      <alignment horizontal="center"/>
    </xf>
    <xf numFmtId="171" fontId="0" fillId="0" borderId="0" xfId="4" applyNumberFormat="1" applyFont="1"/>
    <xf numFmtId="167" fontId="10" fillId="2" borderId="0" xfId="4" applyNumberFormat="1" applyFont="1" applyFill="1" applyBorder="1" applyAlignment="1">
      <alignment horizontal="center"/>
    </xf>
    <xf numFmtId="44" fontId="0" fillId="0" borderId="0" xfId="4" applyFont="1" applyFill="1"/>
    <xf numFmtId="164" fontId="0" fillId="0" borderId="4" xfId="1" applyNumberFormat="1" applyFont="1" applyFill="1" applyBorder="1"/>
    <xf numFmtId="164" fontId="0" fillId="0" borderId="22" xfId="1" applyNumberFormat="1" applyFont="1" applyBorder="1"/>
    <xf numFmtId="164" fontId="11" fillId="0" borderId="0" xfId="1" applyNumberFormat="1" applyFont="1" applyFill="1" applyBorder="1"/>
    <xf numFmtId="0" fontId="0" fillId="0" borderId="8" xfId="0" applyBorder="1" applyAlignment="1">
      <alignment horizontal="left" indent="2"/>
    </xf>
    <xf numFmtId="10" fontId="0" fillId="0" borderId="0" xfId="2" applyNumberFormat="1" applyFont="1" applyBorder="1" applyAlignment="1">
      <alignment horizontal="right"/>
    </xf>
    <xf numFmtId="164" fontId="0" fillId="0" borderId="0" xfId="1" applyNumberFormat="1" applyFont="1" applyFill="1"/>
    <xf numFmtId="164" fontId="0" fillId="0" borderId="9" xfId="0" applyNumberFormat="1" applyBorder="1"/>
    <xf numFmtId="164" fontId="3" fillId="0" borderId="0" xfId="1" applyNumberFormat="1" applyFont="1" applyFill="1" applyBorder="1"/>
    <xf numFmtId="0" fontId="0" fillId="0" borderId="5"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14" fontId="0" fillId="0" borderId="0" xfId="0" applyNumberFormat="1" applyAlignment="1">
      <alignment horizontal="left"/>
    </xf>
    <xf numFmtId="0" fontId="0" fillId="0" borderId="9" xfId="0" applyBorder="1" applyAlignment="1">
      <alignment horizontal="center"/>
    </xf>
    <xf numFmtId="0" fontId="0" fillId="0" borderId="7" xfId="0" applyBorder="1" applyAlignment="1">
      <alignment horizontal="center"/>
    </xf>
    <xf numFmtId="164" fontId="0" fillId="0" borderId="8" xfId="0" applyNumberFormat="1" applyBorder="1"/>
    <xf numFmtId="164" fontId="0" fillId="0" borderId="22" xfId="0" applyNumberFormat="1" applyBorder="1"/>
    <xf numFmtId="10" fontId="0" fillId="5" borderId="0" xfId="0" applyNumberFormat="1" applyFill="1" applyAlignment="1">
      <alignment horizontal="center"/>
    </xf>
    <xf numFmtId="0" fontId="2" fillId="0" borderId="0" xfId="0" applyFont="1" applyAlignment="1">
      <alignment horizontal="right"/>
    </xf>
    <xf numFmtId="164" fontId="0" fillId="0" borderId="8" xfId="1" applyNumberFormat="1" applyFont="1" applyBorder="1" applyAlignment="1"/>
    <xf numFmtId="0" fontId="12" fillId="0" borderId="0" xfId="14" applyFont="1" applyAlignment="1">
      <alignment horizontal="center"/>
    </xf>
    <xf numFmtId="0" fontId="12" fillId="0" borderId="0" xfId="14" applyFont="1" applyAlignment="1">
      <alignment horizontal="center" wrapText="1"/>
    </xf>
    <xf numFmtId="0" fontId="6" fillId="0" borderId="0" xfId="14"/>
    <xf numFmtId="0" fontId="6" fillId="0" borderId="0" xfId="14" applyAlignment="1">
      <alignment horizontal="center"/>
    </xf>
    <xf numFmtId="49" fontId="6" fillId="0" borderId="0" xfId="14" applyNumberFormat="1" applyAlignment="1">
      <alignment horizontal="right"/>
    </xf>
    <xf numFmtId="167" fontId="6" fillId="0" borderId="0" xfId="12" applyNumberFormat="1" applyFont="1" applyFill="1"/>
    <xf numFmtId="14" fontId="6" fillId="0" borderId="0" xfId="14" applyNumberFormat="1"/>
    <xf numFmtId="167" fontId="6" fillId="0" borderId="0" xfId="12" applyNumberFormat="1" applyFont="1"/>
    <xf numFmtId="167" fontId="6" fillId="0" borderId="0" xfId="14" applyNumberFormat="1"/>
    <xf numFmtId="0" fontId="6" fillId="0" borderId="0" xfId="14" applyAlignment="1">
      <alignment horizontal="right"/>
    </xf>
    <xf numFmtId="44" fontId="6" fillId="0" borderId="0" xfId="12" applyFont="1" applyAlignment="1">
      <alignment horizontal="center"/>
    </xf>
    <xf numFmtId="2" fontId="6" fillId="0" borderId="0" xfId="14" applyNumberFormat="1"/>
    <xf numFmtId="44" fontId="6" fillId="0" borderId="0" xfId="12" applyFont="1"/>
    <xf numFmtId="43" fontId="6" fillId="0" borderId="0" xfId="11" applyFont="1" applyFill="1"/>
    <xf numFmtId="43" fontId="6" fillId="0" borderId="0" xfId="14" applyNumberFormat="1"/>
    <xf numFmtId="0" fontId="12" fillId="0" borderId="0" xfId="14" applyFont="1"/>
    <xf numFmtId="44" fontId="6" fillId="0" borderId="0" xfId="12" applyFont="1" applyFill="1" applyAlignment="1">
      <alignment horizontal="center"/>
    </xf>
    <xf numFmtId="43" fontId="6" fillId="0" borderId="0" xfId="14" applyNumberFormat="1" applyAlignment="1">
      <alignment horizontal="right"/>
    </xf>
    <xf numFmtId="43" fontId="6" fillId="0" borderId="0" xfId="1" applyFont="1"/>
    <xf numFmtId="10" fontId="6" fillId="0" borderId="0" xfId="2" applyNumberFormat="1" applyFont="1" applyFill="1"/>
    <xf numFmtId="0" fontId="12" fillId="0" borderId="5" xfId="14" applyFont="1" applyBorder="1"/>
    <xf numFmtId="0" fontId="6" fillId="0" borderId="6" xfId="14" applyBorder="1"/>
    <xf numFmtId="0" fontId="6" fillId="0" borderId="6" xfId="14" applyBorder="1" applyAlignment="1">
      <alignment horizontal="center"/>
    </xf>
    <xf numFmtId="0" fontId="6" fillId="0" borderId="7" xfId="14" applyBorder="1"/>
    <xf numFmtId="0" fontId="6" fillId="0" borderId="8" xfId="14" applyBorder="1"/>
    <xf numFmtId="10" fontId="6" fillId="0" borderId="0" xfId="2" applyNumberFormat="1" applyFont="1" applyFill="1" applyBorder="1"/>
    <xf numFmtId="0" fontId="6" fillId="0" borderId="9" xfId="14" applyBorder="1"/>
    <xf numFmtId="0" fontId="6" fillId="0" borderId="10" xfId="14" applyBorder="1"/>
    <xf numFmtId="0" fontId="6" fillId="0" borderId="11" xfId="14" applyBorder="1"/>
    <xf numFmtId="0" fontId="6" fillId="0" borderId="11" xfId="14" applyBorder="1" applyAlignment="1">
      <alignment horizontal="center"/>
    </xf>
    <xf numFmtId="0" fontId="6" fillId="0" borderId="12" xfId="14" applyBorder="1"/>
    <xf numFmtId="0" fontId="12" fillId="0" borderId="0" xfId="14" applyFont="1" applyAlignment="1">
      <alignment horizontal="center" vertical="center" wrapText="1"/>
    </xf>
    <xf numFmtId="174" fontId="6" fillId="0" borderId="9" xfId="14" applyNumberFormat="1" applyBorder="1" applyAlignment="1">
      <alignment wrapText="1"/>
    </xf>
    <xf numFmtId="174" fontId="6" fillId="0" borderId="12" xfId="14" applyNumberFormat="1" applyBorder="1" applyAlignment="1">
      <alignment wrapText="1"/>
    </xf>
    <xf numFmtId="174" fontId="6" fillId="0" borderId="0" xfId="14" applyNumberFormat="1" applyAlignment="1">
      <alignment wrapText="1"/>
    </xf>
    <xf numFmtId="41" fontId="2" fillId="0" borderId="11" xfId="0" applyNumberFormat="1" applyFont="1" applyBorder="1"/>
    <xf numFmtId="41" fontId="2" fillId="0" borderId="5" xfId="0" applyNumberFormat="1" applyFont="1" applyBorder="1"/>
    <xf numFmtId="41" fontId="2" fillId="0" borderId="6" xfId="0" applyNumberFormat="1" applyFont="1" applyBorder="1"/>
    <xf numFmtId="41" fontId="2" fillId="0" borderId="7" xfId="0" applyNumberFormat="1" applyFont="1" applyBorder="1"/>
    <xf numFmtId="41" fontId="2" fillId="0" borderId="10" xfId="0" applyNumberFormat="1" applyFont="1" applyBorder="1"/>
    <xf numFmtId="164" fontId="6" fillId="0" borderId="0" xfId="14" applyNumberFormat="1"/>
    <xf numFmtId="167" fontId="6" fillId="0" borderId="22" xfId="14" applyNumberFormat="1" applyBorder="1"/>
    <xf numFmtId="10" fontId="0" fillId="0" borderId="0" xfId="2" applyNumberFormat="1" applyFont="1" applyFill="1" applyBorder="1"/>
    <xf numFmtId="0" fontId="0" fillId="0" borderId="17" xfId="0" applyBorder="1" applyAlignment="1">
      <alignment horizontal="center"/>
    </xf>
    <xf numFmtId="0" fontId="0" fillId="0" borderId="24" xfId="0" applyBorder="1" applyAlignment="1">
      <alignment horizontal="center"/>
    </xf>
    <xf numFmtId="0" fontId="2" fillId="0" borderId="4" xfId="0" applyFont="1" applyBorder="1" applyAlignment="1">
      <alignment horizontal="center" wrapText="1"/>
    </xf>
    <xf numFmtId="0" fontId="0" fillId="0" borderId="4" xfId="0" applyBorder="1" applyAlignment="1">
      <alignment horizontal="center"/>
    </xf>
    <xf numFmtId="164" fontId="0" fillId="0" borderId="0" xfId="1" applyNumberFormat="1" applyFont="1" applyAlignment="1">
      <alignment horizontal="left"/>
    </xf>
    <xf numFmtId="164" fontId="3" fillId="0" borderId="0" xfId="1" applyNumberFormat="1" applyFont="1" applyBorder="1" applyAlignment="1">
      <alignment horizontal="center"/>
    </xf>
    <xf numFmtId="164" fontId="3" fillId="0" borderId="0" xfId="1" applyNumberFormat="1" applyFont="1" applyFill="1" applyBorder="1" applyAlignment="1">
      <alignment horizontal="center"/>
    </xf>
    <xf numFmtId="164" fontId="3" fillId="0" borderId="0" xfId="1" applyNumberFormat="1" applyFont="1" applyFill="1" applyBorder="1" applyAlignment="1">
      <alignment wrapText="1"/>
    </xf>
    <xf numFmtId="9" fontId="0" fillId="0" borderId="0" xfId="0" applyNumberFormat="1" applyAlignment="1">
      <alignment horizontal="left"/>
    </xf>
    <xf numFmtId="0" fontId="5" fillId="0" borderId="0" xfId="0" applyFont="1" applyAlignment="1">
      <alignment wrapText="1"/>
    </xf>
    <xf numFmtId="10" fontId="0" fillId="0" borderId="0" xfId="2" applyNumberFormat="1" applyFont="1" applyFill="1" applyAlignment="1">
      <alignment horizontal="left"/>
    </xf>
    <xf numFmtId="169" fontId="0" fillId="0" borderId="0" xfId="1" applyNumberFormat="1" applyFont="1" applyFill="1"/>
    <xf numFmtId="0" fontId="11" fillId="0" borderId="0" xfId="0" applyFont="1"/>
    <xf numFmtId="164" fontId="11" fillId="0" borderId="0" xfId="1" applyNumberFormat="1" applyFont="1" applyFill="1" applyAlignment="1">
      <alignment horizontal="center"/>
    </xf>
    <xf numFmtId="0" fontId="11" fillId="0" borderId="0" xfId="0" applyFont="1" applyAlignment="1">
      <alignment horizontal="left"/>
    </xf>
    <xf numFmtId="164" fontId="2" fillId="0" borderId="0" xfId="1" applyNumberFormat="1" applyFont="1" applyFill="1" applyAlignment="1">
      <alignment horizontal="center"/>
    </xf>
    <xf numFmtId="164" fontId="2" fillId="0" borderId="0" xfId="1" applyNumberFormat="1" applyFont="1" applyAlignment="1">
      <alignment horizontal="center"/>
    </xf>
    <xf numFmtId="167" fontId="0" fillId="0" borderId="0" xfId="4" applyNumberFormat="1" applyFont="1" applyFill="1" applyBorder="1"/>
    <xf numFmtId="0" fontId="0" fillId="0" borderId="0" xfId="0" applyAlignment="1">
      <alignment horizontal="center" wrapText="1"/>
    </xf>
    <xf numFmtId="167" fontId="0" fillId="0" borderId="13" xfId="0" applyNumberFormat="1" applyBorder="1"/>
    <xf numFmtId="167" fontId="2" fillId="0" borderId="11" xfId="1" applyNumberFormat="1" applyFont="1" applyFill="1" applyBorder="1" applyAlignment="1">
      <alignment horizontal="center"/>
    </xf>
    <xf numFmtId="10" fontId="0" fillId="0" borderId="0" xfId="2" applyNumberFormat="1" applyFont="1" applyFill="1"/>
    <xf numFmtId="171" fontId="0" fillId="0" borderId="0" xfId="0" applyNumberFormat="1"/>
    <xf numFmtId="170" fontId="0" fillId="0" borderId="0" xfId="0" applyNumberFormat="1"/>
    <xf numFmtId="172" fontId="2" fillId="2" borderId="0" xfId="37" applyNumberFormat="1" applyFont="1" applyFill="1" applyAlignment="1">
      <alignment horizontal="center"/>
    </xf>
    <xf numFmtId="164" fontId="29" fillId="0" borderId="0" xfId="1" applyNumberFormat="1" applyFont="1" applyFill="1" applyBorder="1"/>
    <xf numFmtId="164" fontId="26" fillId="0" borderId="0" xfId="1" applyNumberFormat="1" applyFont="1" applyFill="1" applyBorder="1"/>
    <xf numFmtId="0" fontId="29" fillId="0" borderId="0" xfId="0" applyFont="1"/>
    <xf numFmtId="0" fontId="29" fillId="0" borderId="9" xfId="0" applyFont="1" applyBorder="1"/>
    <xf numFmtId="216" fontId="0" fillId="2" borderId="0" xfId="0" applyNumberFormat="1" applyFill="1"/>
    <xf numFmtId="0" fontId="2" fillId="0" borderId="1" xfId="0" applyFont="1" applyBorder="1"/>
    <xf numFmtId="0" fontId="2" fillId="0" borderId="2" xfId="0" applyFont="1" applyBorder="1"/>
    <xf numFmtId="0" fontId="0" fillId="0" borderId="0" xfId="0" applyAlignment="1">
      <alignment horizontal="left"/>
    </xf>
    <xf numFmtId="49" fontId="2" fillId="0" borderId="0" xfId="1" applyNumberFormat="1" applyFont="1" applyFill="1" applyAlignment="1">
      <alignment horizontal="center"/>
    </xf>
    <xf numFmtId="0" fontId="2" fillId="0" borderId="0" xfId="1" applyNumberFormat="1" applyFont="1" applyFill="1" applyAlignment="1">
      <alignment horizontal="center"/>
    </xf>
    <xf numFmtId="0" fontId="2" fillId="0" borderId="0" xfId="0" applyFont="1" applyAlignment="1">
      <alignment horizontal="center" wrapText="1"/>
    </xf>
    <xf numFmtId="0" fontId="0" fillId="0" borderId="0" xfId="0" applyAlignment="1">
      <alignment horizontal="left" indent="2"/>
    </xf>
    <xf numFmtId="0" fontId="2" fillId="2" borderId="0" xfId="0" applyFont="1" applyFill="1"/>
    <xf numFmtId="0" fontId="0" fillId="2" borderId="0" xfId="0" applyFill="1"/>
    <xf numFmtId="0" fontId="4" fillId="0" borderId="0" xfId="6"/>
    <xf numFmtId="164" fontId="1" fillId="2" borderId="0" xfId="1" applyNumberFormat="1" applyFont="1" applyFill="1" applyBorder="1"/>
    <xf numFmtId="0" fontId="4" fillId="0" borderId="6" xfId="6" applyBorder="1"/>
    <xf numFmtId="0" fontId="4" fillId="0" borderId="7" xfId="6" applyBorder="1"/>
    <xf numFmtId="0" fontId="4" fillId="0" borderId="9" xfId="6" applyBorder="1"/>
    <xf numFmtId="0" fontId="4" fillId="0" borderId="8" xfId="6" applyBorder="1"/>
    <xf numFmtId="0" fontId="4" fillId="0" borderId="10" xfId="6" applyBorder="1"/>
    <xf numFmtId="0" fontId="4" fillId="0" borderId="11" xfId="6" applyBorder="1"/>
    <xf numFmtId="0" fontId="4" fillId="0" borderId="12" xfId="6" applyBorder="1"/>
    <xf numFmtId="164" fontId="0" fillId="0" borderId="0" xfId="1" applyNumberFormat="1" applyFont="1" applyFill="1" applyBorder="1" applyAlignment="1">
      <alignment horizontal="center"/>
    </xf>
    <xf numFmtId="164" fontId="3" fillId="0" borderId="0" xfId="0" applyNumberFormat="1" applyFont="1"/>
    <xf numFmtId="10" fontId="0" fillId="0" borderId="0" xfId="1" applyNumberFormat="1" applyFont="1" applyFill="1"/>
    <xf numFmtId="0" fontId="7" fillId="0" borderId="8" xfId="6" applyFont="1" applyBorder="1"/>
    <xf numFmtId="164" fontId="4" fillId="2" borderId="0" xfId="1" applyNumberFormat="1" applyFont="1" applyFill="1" applyBorder="1"/>
    <xf numFmtId="164" fontId="4" fillId="0" borderId="0" xfId="1" applyNumberFormat="1" applyFont="1" applyBorder="1"/>
    <xf numFmtId="164" fontId="2" fillId="0" borderId="0" xfId="1" applyNumberFormat="1" applyFont="1"/>
    <xf numFmtId="0" fontId="4" fillId="0" borderId="5" xfId="6" applyBorder="1"/>
    <xf numFmtId="17" fontId="4" fillId="0" borderId="0" xfId="6" applyNumberFormat="1"/>
    <xf numFmtId="164" fontId="4" fillId="0" borderId="11" xfId="1" applyNumberFormat="1" applyFont="1" applyBorder="1"/>
    <xf numFmtId="164" fontId="4" fillId="0" borderId="0" xfId="1" applyNumberFormat="1" applyFont="1" applyFill="1"/>
    <xf numFmtId="0" fontId="4" fillId="0" borderId="0" xfId="6" applyAlignment="1">
      <alignment horizontal="center"/>
    </xf>
    <xf numFmtId="164" fontId="4" fillId="0" borderId="22" xfId="1" applyNumberFormat="1" applyFont="1" applyBorder="1"/>
    <xf numFmtId="41" fontId="0" fillId="2" borderId="0" xfId="0" applyNumberFormat="1" applyFill="1"/>
    <xf numFmtId="41" fontId="0" fillId="2" borderId="4" xfId="0" applyNumberFormat="1" applyFill="1" applyBorder="1"/>
    <xf numFmtId="167" fontId="0" fillId="2" borderId="0" xfId="4" applyNumberFormat="1" applyFont="1" applyFill="1"/>
    <xf numFmtId="164" fontId="0" fillId="0" borderId="23" xfId="1" applyNumberFormat="1" applyFont="1" applyBorder="1"/>
    <xf numFmtId="164" fontId="151" fillId="0" borderId="0" xfId="1" applyNumberFormat="1" applyFont="1" applyFill="1" applyBorder="1"/>
    <xf numFmtId="164" fontId="151" fillId="0" borderId="4" xfId="1" applyNumberFormat="1" applyFont="1" applyFill="1" applyBorder="1"/>
    <xf numFmtId="10" fontId="151" fillId="0" borderId="13" xfId="2" applyNumberFormat="1" applyFont="1" applyFill="1" applyBorder="1"/>
    <xf numFmtId="164" fontId="151" fillId="0" borderId="0" xfId="1" applyNumberFormat="1" applyFont="1" applyBorder="1"/>
    <xf numFmtId="10" fontId="151" fillId="0" borderId="4" xfId="2" applyNumberFormat="1" applyFont="1" applyFill="1" applyBorder="1"/>
    <xf numFmtId="164" fontId="151" fillId="0" borderId="4" xfId="1" applyNumberFormat="1" applyFont="1" applyBorder="1"/>
    <xf numFmtId="164" fontId="151" fillId="0" borderId="13" xfId="1" applyNumberFormat="1" applyFont="1" applyBorder="1"/>
    <xf numFmtId="164" fontId="151" fillId="0" borderId="13" xfId="1" applyNumberFormat="1" applyFont="1" applyFill="1" applyBorder="1"/>
    <xf numFmtId="10" fontId="151" fillId="0" borderId="0" xfId="2" applyNumberFormat="1" applyFont="1" applyFill="1" applyBorder="1"/>
    <xf numFmtId="10" fontId="151" fillId="0" borderId="4" xfId="2" applyNumberFormat="1" applyFont="1" applyBorder="1"/>
    <xf numFmtId="10" fontId="151" fillId="0" borderId="4" xfId="1" applyNumberFormat="1" applyFont="1" applyFill="1" applyBorder="1"/>
    <xf numFmtId="164" fontId="151" fillId="0" borderId="14" xfId="1" applyNumberFormat="1" applyFont="1" applyBorder="1"/>
    <xf numFmtId="10" fontId="151" fillId="0" borderId="0" xfId="2" applyNumberFormat="1" applyFont="1" applyBorder="1"/>
    <xf numFmtId="164" fontId="151" fillId="0" borderId="22" xfId="1" applyNumberFormat="1" applyFont="1" applyFill="1" applyBorder="1"/>
    <xf numFmtId="173" fontId="151" fillId="0" borderId="0" xfId="1" applyNumberFormat="1" applyFont="1" applyBorder="1"/>
    <xf numFmtId="164" fontId="151" fillId="0" borderId="23" xfId="1" applyNumberFormat="1" applyFont="1" applyFill="1" applyBorder="1"/>
    <xf numFmtId="164" fontId="4" fillId="0" borderId="0" xfId="6" applyNumberFormat="1"/>
    <xf numFmtId="43" fontId="0" fillId="0" borderId="0" xfId="1" applyFont="1" applyFill="1" applyBorder="1"/>
    <xf numFmtId="164" fontId="3" fillId="0" borderId="0" xfId="1" applyNumberFormat="1" applyFont="1" applyFill="1"/>
    <xf numFmtId="164" fontId="0" fillId="0" borderId="0" xfId="1" applyNumberFormat="1" applyFont="1" applyFill="1" applyAlignment="1">
      <alignment wrapText="1"/>
    </xf>
    <xf numFmtId="164" fontId="0" fillId="0" borderId="0" xfId="1" applyNumberFormat="1" applyFont="1" applyAlignment="1">
      <alignment wrapText="1"/>
    </xf>
    <xf numFmtId="164" fontId="14" fillId="0" borderId="0" xfId="1" applyNumberFormat="1" applyFont="1" applyFill="1" applyAlignment="1">
      <alignment horizontal="center"/>
    </xf>
    <xf numFmtId="164" fontId="87" fillId="0" borderId="0" xfId="1" applyNumberFormat="1" applyFont="1" applyFill="1" applyBorder="1" applyProtection="1">
      <protection locked="0"/>
    </xf>
    <xf numFmtId="0" fontId="11" fillId="0" borderId="0" xfId="0" quotePrefix="1" applyFont="1"/>
    <xf numFmtId="164" fontId="0" fillId="2" borderId="4" xfId="1" applyNumberFormat="1" applyFont="1" applyFill="1" applyBorder="1"/>
    <xf numFmtId="0" fontId="11" fillId="0" borderId="0" xfId="0" applyFont="1" applyAlignment="1">
      <alignment horizontal="center"/>
    </xf>
    <xf numFmtId="164" fontId="4" fillId="2" borderId="0" xfId="1" applyNumberFormat="1" applyFont="1" applyFill="1"/>
    <xf numFmtId="164" fontId="4" fillId="2" borderId="4" xfId="1" applyNumberFormat="1" applyFont="1" applyFill="1" applyBorder="1"/>
    <xf numFmtId="169" fontId="0" fillId="2" borderId="0" xfId="1" applyNumberFormat="1" applyFont="1" applyFill="1"/>
    <xf numFmtId="168" fontId="0" fillId="2" borderId="0" xfId="0" applyNumberFormat="1" applyFill="1"/>
    <xf numFmtId="1" fontId="0" fillId="2" borderId="0" xfId="0" applyNumberFormat="1" applyFill="1"/>
    <xf numFmtId="39" fontId="4" fillId="0" borderId="0" xfId="7" applyNumberFormat="1"/>
    <xf numFmtId="40" fontId="1" fillId="0" borderId="24" xfId="7" applyNumberFormat="1" applyFont="1" applyBorder="1" applyAlignment="1">
      <alignment horizontal="center" wrapText="1"/>
    </xf>
    <xf numFmtId="164" fontId="1" fillId="2" borderId="0" xfId="1" applyNumberFormat="1" applyFont="1" applyFill="1"/>
    <xf numFmtId="44" fontId="0" fillId="2" borderId="0" xfId="0" applyNumberFormat="1" applyFill="1"/>
    <xf numFmtId="0" fontId="152" fillId="0" borderId="14" xfId="0" applyFont="1" applyBorder="1"/>
    <xf numFmtId="0" fontId="152" fillId="0" borderId="14" xfId="0" applyFont="1" applyBorder="1" applyAlignment="1">
      <alignment horizontal="center"/>
    </xf>
    <xf numFmtId="0" fontId="152" fillId="0" borderId="14" xfId="0" applyFont="1" applyBorder="1" applyAlignment="1">
      <alignment horizontal="center" wrapText="1"/>
    </xf>
    <xf numFmtId="164" fontId="87" fillId="0" borderId="0" xfId="1" applyNumberFormat="1" applyFont="1" applyFill="1" applyProtection="1">
      <protection locked="0"/>
    </xf>
    <xf numFmtId="164" fontId="87" fillId="0" borderId="0" xfId="0" applyNumberFormat="1" applyFont="1"/>
    <xf numFmtId="164" fontId="2" fillId="2" borderId="0" xfId="1" applyNumberFormat="1" applyFont="1" applyFill="1" applyAlignment="1">
      <alignment horizontal="center"/>
    </xf>
    <xf numFmtId="164" fontId="4" fillId="0" borderId="22" xfId="1" applyNumberFormat="1" applyFont="1" applyFill="1" applyBorder="1"/>
    <xf numFmtId="164" fontId="8" fillId="2" borderId="0" xfId="1" applyNumberFormat="1" applyFont="1" applyFill="1" applyBorder="1"/>
    <xf numFmtId="167" fontId="6" fillId="0" borderId="0" xfId="12" applyNumberFormat="1" applyFont="1" applyFill="1" applyBorder="1"/>
    <xf numFmtId="164" fontId="6" fillId="0" borderId="0" xfId="1" applyNumberFormat="1" applyFont="1" applyFill="1" applyBorder="1" applyAlignment="1">
      <alignment horizontal="center"/>
    </xf>
    <xf numFmtId="167" fontId="6" fillId="2" borderId="0" xfId="12" applyNumberFormat="1" applyFont="1" applyFill="1" applyBorder="1"/>
    <xf numFmtId="43" fontId="151" fillId="0" borderId="0" xfId="1" applyFont="1" applyBorder="1"/>
    <xf numFmtId="40" fontId="2" fillId="0" borderId="17" xfId="7" applyNumberFormat="1" applyFont="1" applyBorder="1" applyAlignment="1">
      <alignment horizontal="center" wrapText="1"/>
    </xf>
    <xf numFmtId="40" fontId="2" fillId="0" borderId="4" xfId="7" applyNumberFormat="1" applyFont="1" applyBorder="1" applyAlignment="1">
      <alignment horizontal="center" wrapText="1"/>
    </xf>
    <xf numFmtId="43" fontId="0" fillId="0" borderId="9" xfId="1" applyFont="1" applyFill="1" applyBorder="1"/>
    <xf numFmtId="43" fontId="0" fillId="0" borderId="0" xfId="1" applyFont="1" applyFill="1"/>
    <xf numFmtId="168" fontId="0" fillId="0" borderId="0" xfId="0" applyNumberFormat="1"/>
    <xf numFmtId="164" fontId="14" fillId="0" borderId="0" xfId="1" applyNumberFormat="1" applyFont="1" applyFill="1" applyBorder="1" applyAlignment="1">
      <alignment horizontal="center"/>
    </xf>
    <xf numFmtId="1" fontId="0" fillId="0" borderId="0" xfId="0" applyNumberFormat="1"/>
    <xf numFmtId="175" fontId="4" fillId="0" borderId="0" xfId="2" applyNumberFormat="1" applyFont="1" applyBorder="1"/>
    <xf numFmtId="164" fontId="4" fillId="0" borderId="6" xfId="6" applyNumberFormat="1" applyBorder="1"/>
    <xf numFmtId="164" fontId="4" fillId="0" borderId="0" xfId="1" applyNumberFormat="1" applyFont="1" applyFill="1" applyBorder="1"/>
    <xf numFmtId="16" fontId="4" fillId="0" borderId="0" xfId="6" applyNumberFormat="1"/>
    <xf numFmtId="41" fontId="27" fillId="0" borderId="0" xfId="0" applyNumberFormat="1" applyFont="1"/>
    <xf numFmtId="0" fontId="27" fillId="0" borderId="0" xfId="0" applyFont="1"/>
    <xf numFmtId="0" fontId="153" fillId="0" borderId="0" xfId="0" applyFont="1"/>
    <xf numFmtId="41" fontId="154" fillId="0" borderId="9" xfId="0" applyNumberFormat="1" applyFont="1" applyBorder="1"/>
    <xf numFmtId="41" fontId="0" fillId="0" borderId="14" xfId="0" applyNumberFormat="1" applyBorder="1"/>
    <xf numFmtId="41" fontId="11" fillId="0" borderId="9" xfId="0" applyNumberFormat="1" applyFont="1" applyBorder="1"/>
    <xf numFmtId="217" fontId="0" fillId="0" borderId="0" xfId="2" applyNumberFormat="1" applyFont="1" applyBorder="1"/>
    <xf numFmtId="0" fontId="157" fillId="0" borderId="0" xfId="0" applyFont="1"/>
    <xf numFmtId="164" fontId="158" fillId="0" borderId="23" xfId="1" applyNumberFormat="1" applyFont="1" applyBorder="1"/>
    <xf numFmtId="10" fontId="158" fillId="0" borderId="0" xfId="2" applyNumberFormat="1" applyFont="1" applyAlignment="1">
      <alignment horizontal="center"/>
    </xf>
    <xf numFmtId="164" fontId="158" fillId="0" borderId="49" xfId="1" applyNumberFormat="1" applyFont="1" applyBorder="1"/>
    <xf numFmtId="164" fontId="158" fillId="0" borderId="0" xfId="1" applyNumberFormat="1" applyFont="1"/>
    <xf numFmtId="164" fontId="158" fillId="0" borderId="72" xfId="1" applyNumberFormat="1" applyFont="1" applyBorder="1"/>
    <xf numFmtId="0" fontId="158" fillId="0" borderId="0" xfId="0" applyFont="1"/>
    <xf numFmtId="164" fontId="158" fillId="0" borderId="48" xfId="1" applyNumberFormat="1" applyFont="1" applyBorder="1"/>
    <xf numFmtId="0" fontId="158" fillId="0" borderId="72" xfId="0" applyFont="1" applyBorder="1"/>
    <xf numFmtId="43" fontId="158" fillId="0" borderId="0" xfId="0" applyNumberFormat="1" applyFont="1"/>
    <xf numFmtId="43" fontId="157" fillId="0" borderId="0" xfId="0" applyNumberFormat="1" applyFont="1"/>
    <xf numFmtId="0" fontId="158" fillId="0" borderId="76" xfId="0" applyFont="1" applyBorder="1"/>
    <xf numFmtId="0" fontId="159" fillId="0" borderId="49" xfId="0" applyFont="1" applyBorder="1"/>
    <xf numFmtId="0" fontId="160" fillId="0" borderId="49" xfId="0" applyFont="1" applyBorder="1" applyAlignment="1">
      <alignment horizontal="center"/>
    </xf>
    <xf numFmtId="0" fontId="158" fillId="0" borderId="79" xfId="0" applyFont="1" applyBorder="1"/>
    <xf numFmtId="0" fontId="158" fillId="0" borderId="4" xfId="0" applyFont="1" applyBorder="1"/>
    <xf numFmtId="164" fontId="158" fillId="0" borderId="4" xfId="1" applyNumberFormat="1" applyFont="1" applyBorder="1"/>
    <xf numFmtId="164" fontId="0" fillId="0" borderId="23" xfId="0" applyNumberFormat="1" applyBorder="1"/>
    <xf numFmtId="164" fontId="151" fillId="0" borderId="2" xfId="1" applyNumberFormat="1" applyFont="1" applyFill="1" applyBorder="1"/>
    <xf numFmtId="164" fontId="0" fillId="0" borderId="2" xfId="1" applyNumberFormat="1" applyFont="1" applyFill="1" applyBorder="1"/>
    <xf numFmtId="164" fontId="151" fillId="0" borderId="2" xfId="1" applyNumberFormat="1" applyFont="1" applyBorder="1"/>
    <xf numFmtId="164" fontId="0" fillId="0" borderId="2" xfId="1" applyNumberFormat="1" applyFont="1" applyBorder="1"/>
    <xf numFmtId="10" fontId="0" fillId="0" borderId="4" xfId="2" applyNumberFormat="1" applyFont="1" applyFill="1" applyBorder="1"/>
    <xf numFmtId="164" fontId="158" fillId="0" borderId="0" xfId="1" applyNumberFormat="1" applyFont="1" applyBorder="1"/>
    <xf numFmtId="10" fontId="164" fillId="103" borderId="0" xfId="2" applyNumberFormat="1" applyFont="1" applyFill="1" applyBorder="1"/>
    <xf numFmtId="164" fontId="11" fillId="0" borderId="0" xfId="1" applyNumberFormat="1" applyFont="1" applyBorder="1"/>
    <xf numFmtId="164" fontId="165" fillId="0" borderId="0" xfId="1" applyNumberFormat="1" applyFont="1" applyFill="1" applyBorder="1" applyAlignment="1">
      <alignment horizontal="center"/>
    </xf>
    <xf numFmtId="0" fontId="158" fillId="0" borderId="77" xfId="0" applyFont="1" applyBorder="1"/>
    <xf numFmtId="164" fontId="6" fillId="0" borderId="0" xfId="1" applyNumberFormat="1" applyFont="1" applyAlignment="1">
      <alignment horizontal="left" vertical="top"/>
    </xf>
    <xf numFmtId="167" fontId="6" fillId="0" borderId="0" xfId="14" applyNumberFormat="1" applyAlignment="1">
      <alignment horizontal="center"/>
    </xf>
    <xf numFmtId="164" fontId="0" fillId="2" borderId="0" xfId="0" applyNumberFormat="1" applyFill="1"/>
    <xf numFmtId="0" fontId="6" fillId="0" borderId="0" xfId="14" applyAlignment="1">
      <alignment horizontal="left"/>
    </xf>
    <xf numFmtId="164" fontId="0" fillId="0" borderId="0" xfId="1" applyNumberFormat="1" applyFont="1" applyFill="1" applyBorder="1" applyAlignment="1">
      <alignment horizontal="right"/>
    </xf>
    <xf numFmtId="164" fontId="0" fillId="2" borderId="11" xfId="1" applyNumberFormat="1" applyFont="1" applyFill="1" applyBorder="1"/>
    <xf numFmtId="10" fontId="0" fillId="0" borderId="0" xfId="0" applyNumberFormat="1" applyAlignment="1">
      <alignment horizontal="center"/>
    </xf>
    <xf numFmtId="41" fontId="2" fillId="0" borderId="4" xfId="0" applyNumberFormat="1" applyFont="1" applyBorder="1" applyAlignment="1">
      <alignment horizontal="center" wrapText="1"/>
    </xf>
    <xf numFmtId="0" fontId="158" fillId="0" borderId="48" xfId="0" applyFont="1" applyBorder="1" applyAlignment="1">
      <alignment horizontal="left"/>
    </xf>
    <xf numFmtId="0" fontId="158" fillId="0" borderId="48" xfId="0" applyFont="1" applyBorder="1" applyAlignment="1">
      <alignment horizontal="center"/>
    </xf>
    <xf numFmtId="14" fontId="158" fillId="0" borderId="48" xfId="0" applyNumberFormat="1" applyFont="1" applyBorder="1" applyAlignment="1">
      <alignment horizontal="center"/>
    </xf>
    <xf numFmtId="10" fontId="158" fillId="0" borderId="49" xfId="2" applyNumberFormat="1" applyFont="1" applyBorder="1" applyAlignment="1">
      <alignment horizontal="center"/>
    </xf>
    <xf numFmtId="10" fontId="158" fillId="0" borderId="72" xfId="2" applyNumberFormat="1" applyFont="1" applyBorder="1" applyAlignment="1">
      <alignment horizontal="center"/>
    </xf>
    <xf numFmtId="0" fontId="158" fillId="0" borderId="49" xfId="0" applyFont="1" applyBorder="1" applyAlignment="1">
      <alignment horizontal="left"/>
    </xf>
    <xf numFmtId="0" fontId="157" fillId="0" borderId="72" xfId="0" applyFont="1" applyBorder="1"/>
    <xf numFmtId="0" fontId="157" fillId="0" borderId="49" xfId="0" applyFont="1" applyBorder="1" applyAlignment="1">
      <alignment horizontal="left"/>
    </xf>
    <xf numFmtId="0" fontId="157" fillId="0" borderId="48" xfId="0" applyFont="1" applyBorder="1" applyAlignment="1">
      <alignment horizontal="left"/>
    </xf>
    <xf numFmtId="0" fontId="157" fillId="0" borderId="48" xfId="0" applyFont="1" applyBorder="1" applyAlignment="1">
      <alignment horizontal="center"/>
    </xf>
    <xf numFmtId="14" fontId="157" fillId="0" borderId="48" xfId="0" applyNumberFormat="1" applyFont="1" applyBorder="1" applyAlignment="1">
      <alignment horizontal="center"/>
    </xf>
    <xf numFmtId="10" fontId="157" fillId="0" borderId="49" xfId="2" applyNumberFormat="1" applyFont="1" applyBorder="1" applyAlignment="1">
      <alignment horizontal="center"/>
    </xf>
    <xf numFmtId="10" fontId="157" fillId="0" borderId="0" xfId="2" applyNumberFormat="1" applyFont="1" applyAlignment="1">
      <alignment horizontal="center"/>
    </xf>
    <xf numFmtId="10" fontId="157" fillId="0" borderId="72" xfId="2" applyNumberFormat="1" applyFont="1" applyBorder="1" applyAlignment="1">
      <alignment horizontal="center"/>
    </xf>
    <xf numFmtId="164" fontId="157" fillId="0" borderId="49" xfId="1" applyNumberFormat="1" applyFont="1" applyBorder="1"/>
    <xf numFmtId="164" fontId="157" fillId="0" borderId="0" xfId="1" applyNumberFormat="1" applyFont="1"/>
    <xf numFmtId="164" fontId="157" fillId="0" borderId="72" xfId="1" applyNumberFormat="1" applyFont="1" applyBorder="1"/>
    <xf numFmtId="0" fontId="158" fillId="0" borderId="23" xfId="0" applyFont="1" applyBorder="1"/>
    <xf numFmtId="41" fontId="158" fillId="0" borderId="0" xfId="0" applyNumberFormat="1" applyFont="1"/>
    <xf numFmtId="164" fontId="158" fillId="2" borderId="49" xfId="1" applyNumberFormat="1" applyFont="1" applyFill="1" applyBorder="1"/>
    <xf numFmtId="164" fontId="158" fillId="2" borderId="0" xfId="1" applyNumberFormat="1" applyFont="1" applyFill="1"/>
    <xf numFmtId="164" fontId="157" fillId="0" borderId="0" xfId="1" applyNumberFormat="1" applyFont="1" applyBorder="1"/>
    <xf numFmtId="164" fontId="158" fillId="0" borderId="0" xfId="1" applyNumberFormat="1" applyFont="1" applyBorder="1" applyAlignment="1">
      <alignment horizontal="right"/>
    </xf>
    <xf numFmtId="164" fontId="158" fillId="0" borderId="0" xfId="1" applyNumberFormat="1" applyFont="1" applyBorder="1" applyAlignment="1">
      <alignment horizontal="center"/>
    </xf>
    <xf numFmtId="10" fontId="163" fillId="0" borderId="0" xfId="2" applyNumberFormat="1" applyFont="1" applyAlignment="1">
      <alignment horizontal="center" wrapText="1"/>
    </xf>
    <xf numFmtId="10" fontId="160" fillId="0" borderId="0" xfId="2" applyNumberFormat="1" applyFont="1" applyAlignment="1">
      <alignment horizontal="center" wrapText="1"/>
    </xf>
    <xf numFmtId="164" fontId="163" fillId="0" borderId="0" xfId="1" applyNumberFormat="1" applyFont="1" applyAlignment="1">
      <alignment wrapText="1"/>
    </xf>
    <xf numFmtId="164" fontId="160" fillId="0" borderId="0" xfId="1" applyNumberFormat="1" applyFont="1" applyAlignment="1">
      <alignment wrapText="1"/>
    </xf>
    <xf numFmtId="164" fontId="158" fillId="2" borderId="0" xfId="1" applyNumberFormat="1" applyFont="1" applyFill="1" applyBorder="1"/>
    <xf numFmtId="0" fontId="163" fillId="0" borderId="0" xfId="0" applyFont="1"/>
    <xf numFmtId="0" fontId="163" fillId="0" borderId="0" xfId="0" applyFont="1" applyAlignment="1">
      <alignment horizontal="left"/>
    </xf>
    <xf numFmtId="0" fontId="160" fillId="0" borderId="49" xfId="0" applyFont="1" applyBorder="1" applyAlignment="1">
      <alignment horizontal="center" wrapText="1"/>
    </xf>
    <xf numFmtId="0" fontId="163" fillId="0" borderId="0" xfId="0" applyFont="1" applyAlignment="1">
      <alignment wrapText="1"/>
    </xf>
    <xf numFmtId="164" fontId="163" fillId="0" borderId="0" xfId="1" applyNumberFormat="1" applyFont="1" applyBorder="1" applyAlignment="1">
      <alignment wrapText="1"/>
    </xf>
    <xf numFmtId="0" fontId="163" fillId="0" borderId="72" xfId="0" applyFont="1" applyBorder="1" applyAlignment="1">
      <alignment wrapText="1"/>
    </xf>
    <xf numFmtId="0" fontId="163" fillId="0" borderId="4" xfId="0" applyFont="1" applyBorder="1"/>
    <xf numFmtId="164" fontId="163" fillId="0" borderId="4" xfId="1" applyNumberFormat="1" applyFont="1" applyBorder="1"/>
    <xf numFmtId="0" fontId="163" fillId="0" borderId="78" xfId="0" applyFont="1" applyBorder="1"/>
    <xf numFmtId="10" fontId="163" fillId="2" borderId="0" xfId="2" applyNumberFormat="1" applyFont="1" applyFill="1" applyAlignment="1">
      <alignment horizontal="center" wrapText="1"/>
    </xf>
    <xf numFmtId="0" fontId="158" fillId="2" borderId="48" xfId="0" applyFont="1" applyFill="1" applyBorder="1" applyAlignment="1">
      <alignment horizontal="center"/>
    </xf>
    <xf numFmtId="10" fontId="158" fillId="2" borderId="49" xfId="2" applyNumberFormat="1" applyFont="1" applyFill="1" applyBorder="1" applyAlignment="1">
      <alignment horizontal="center"/>
    </xf>
    <xf numFmtId="10" fontId="158" fillId="2" borderId="0" xfId="2" applyNumberFormat="1" applyFont="1" applyFill="1" applyAlignment="1">
      <alignment horizontal="center"/>
    </xf>
    <xf numFmtId="10" fontId="158" fillId="2" borderId="72" xfId="2" applyNumberFormat="1" applyFont="1" applyFill="1" applyBorder="1" applyAlignment="1">
      <alignment horizontal="center"/>
    </xf>
    <xf numFmtId="164" fontId="160" fillId="0" borderId="42" xfId="1" applyNumberFormat="1" applyFont="1" applyFill="1" applyBorder="1" applyAlignment="1">
      <alignment horizontal="center" wrapText="1"/>
    </xf>
    <xf numFmtId="164" fontId="163" fillId="0" borderId="72" xfId="1" applyNumberFormat="1" applyFont="1" applyBorder="1" applyAlignment="1">
      <alignment wrapText="1"/>
    </xf>
    <xf numFmtId="164" fontId="163" fillId="0" borderId="76" xfId="1" applyNumberFormat="1" applyFont="1" applyFill="1" applyBorder="1" applyAlignment="1">
      <alignment wrapText="1"/>
    </xf>
    <xf numFmtId="164" fontId="163" fillId="0" borderId="23" xfId="1" applyNumberFormat="1" applyFont="1" applyFill="1" applyBorder="1" applyAlignment="1">
      <alignment wrapText="1"/>
    </xf>
    <xf numFmtId="164" fontId="163" fillId="0" borderId="49" xfId="1" applyNumberFormat="1" applyFont="1" applyFill="1" applyBorder="1" applyAlignment="1">
      <alignment wrapText="1"/>
    </xf>
    <xf numFmtId="164" fontId="163" fillId="0" borderId="0" xfId="1" applyNumberFormat="1" applyFont="1" applyFill="1" applyAlignment="1">
      <alignment wrapText="1"/>
    </xf>
    <xf numFmtId="164" fontId="163" fillId="0" borderId="48" xfId="1" applyNumberFormat="1" applyFont="1" applyBorder="1" applyAlignment="1">
      <alignment wrapText="1"/>
    </xf>
    <xf numFmtId="164" fontId="163" fillId="2" borderId="0" xfId="1" applyNumberFormat="1" applyFont="1" applyFill="1" applyAlignment="1">
      <alignment wrapText="1"/>
    </xf>
    <xf numFmtId="164" fontId="163" fillId="0" borderId="0" xfId="1" applyNumberFormat="1" applyFont="1" applyAlignment="1">
      <alignment horizontal="center" wrapText="1"/>
    </xf>
    <xf numFmtId="164" fontId="160" fillId="0" borderId="72" xfId="1" applyNumberFormat="1" applyFont="1" applyBorder="1" applyAlignment="1">
      <alignment wrapText="1"/>
    </xf>
    <xf numFmtId="164" fontId="160" fillId="0" borderId="49" xfId="1" applyNumberFormat="1" applyFont="1" applyFill="1" applyBorder="1" applyAlignment="1">
      <alignment wrapText="1"/>
    </xf>
    <xf numFmtId="164" fontId="160" fillId="0" borderId="0" xfId="1" applyNumberFormat="1" applyFont="1" applyFill="1" applyAlignment="1">
      <alignment wrapText="1"/>
    </xf>
    <xf numFmtId="164" fontId="160" fillId="0" borderId="48" xfId="1" applyNumberFormat="1" applyFont="1" applyBorder="1" applyAlignment="1">
      <alignment wrapText="1"/>
    </xf>
    <xf numFmtId="10" fontId="163" fillId="0" borderId="72" xfId="2" applyNumberFormat="1" applyFont="1" applyBorder="1" applyAlignment="1">
      <alignment horizontal="center" wrapText="1"/>
    </xf>
    <xf numFmtId="164" fontId="163" fillId="0" borderId="48" xfId="1" applyNumberFormat="1" applyFont="1" applyFill="1" applyBorder="1" applyAlignment="1">
      <alignment wrapText="1"/>
    </xf>
    <xf numFmtId="164" fontId="160" fillId="0" borderId="0" xfId="1" applyNumberFormat="1" applyFont="1" applyFill="1" applyBorder="1" applyAlignment="1">
      <alignment wrapText="1"/>
    </xf>
    <xf numFmtId="164" fontId="160" fillId="0" borderId="48" xfId="1" applyNumberFormat="1" applyFont="1" applyFill="1" applyBorder="1" applyAlignment="1">
      <alignment wrapText="1"/>
    </xf>
    <xf numFmtId="164" fontId="163" fillId="0" borderId="0" xfId="1" applyNumberFormat="1" applyFont="1" applyAlignment="1"/>
    <xf numFmtId="164" fontId="163" fillId="0" borderId="72" xfId="1" applyNumberFormat="1" applyFont="1" applyFill="1" applyBorder="1" applyAlignment="1"/>
    <xf numFmtId="164" fontId="163" fillId="0" borderId="49" xfId="1" applyNumberFormat="1" applyFont="1" applyFill="1" applyBorder="1" applyAlignment="1"/>
    <xf numFmtId="164" fontId="163" fillId="0" borderId="0" xfId="1" applyNumberFormat="1" applyFont="1" applyFill="1" applyAlignment="1"/>
    <xf numFmtId="164" fontId="163" fillId="0" borderId="48" xfId="1" applyNumberFormat="1" applyFont="1" applyFill="1" applyBorder="1" applyAlignment="1"/>
    <xf numFmtId="10" fontId="163" fillId="0" borderId="49" xfId="2" applyNumberFormat="1" applyFont="1" applyFill="1" applyBorder="1" applyAlignment="1">
      <alignment horizontal="center"/>
    </xf>
    <xf numFmtId="10" fontId="163" fillId="0" borderId="0" xfId="2" applyNumberFormat="1" applyFont="1" applyFill="1" applyAlignment="1">
      <alignment horizontal="center"/>
    </xf>
    <xf numFmtId="10" fontId="163" fillId="0" borderId="72" xfId="2" applyNumberFormat="1" applyFont="1" applyFill="1" applyBorder="1" applyAlignment="1">
      <alignment horizontal="center"/>
    </xf>
    <xf numFmtId="0" fontId="160" fillId="0" borderId="72" xfId="0" applyFont="1" applyBorder="1" applyAlignment="1">
      <alignment horizontal="right"/>
    </xf>
    <xf numFmtId="164" fontId="160" fillId="0" borderId="49" xfId="1" applyNumberFormat="1" applyFont="1" applyFill="1" applyBorder="1" applyAlignment="1"/>
    <xf numFmtId="164" fontId="160" fillId="0" borderId="0" xfId="1" applyNumberFormat="1" applyFont="1" applyFill="1" applyAlignment="1"/>
    <xf numFmtId="164" fontId="160" fillId="0" borderId="48" xfId="1" applyNumberFormat="1" applyFont="1" applyFill="1" applyBorder="1" applyAlignment="1"/>
    <xf numFmtId="164" fontId="160" fillId="0" borderId="0" xfId="1" applyNumberFormat="1" applyFont="1" applyFill="1" applyAlignment="1">
      <alignment horizontal="center"/>
    </xf>
    <xf numFmtId="164" fontId="160" fillId="0" borderId="72" xfId="1" applyNumberFormat="1" applyFont="1" applyFill="1" applyBorder="1" applyAlignment="1"/>
    <xf numFmtId="164" fontId="169" fillId="0" borderId="0" xfId="1" applyNumberFormat="1" applyFont="1" applyBorder="1" applyAlignment="1"/>
    <xf numFmtId="0" fontId="160" fillId="0" borderId="72" xfId="0" applyFont="1" applyBorder="1"/>
    <xf numFmtId="10" fontId="160" fillId="0" borderId="49" xfId="2" applyNumberFormat="1" applyFont="1" applyFill="1" applyBorder="1" applyAlignment="1">
      <alignment horizontal="left" indent="2"/>
    </xf>
    <xf numFmtId="0" fontId="160" fillId="0" borderId="0" xfId="0" applyFont="1" applyAlignment="1">
      <alignment horizontal="left" indent="2"/>
    </xf>
    <xf numFmtId="0" fontId="163" fillId="0" borderId="0" xfId="0" applyFont="1" applyAlignment="1">
      <alignment horizontal="right"/>
    </xf>
    <xf numFmtId="164" fontId="169" fillId="0" borderId="0" xfId="1" applyNumberFormat="1" applyFont="1" applyBorder="1" applyAlignment="1">
      <alignment horizontal="center" wrapText="1"/>
    </xf>
    <xf numFmtId="164" fontId="169" fillId="0" borderId="0" xfId="1" applyNumberFormat="1" applyFont="1" applyBorder="1" applyAlignment="1">
      <alignment wrapText="1"/>
    </xf>
    <xf numFmtId="164" fontId="163" fillId="0" borderId="75" xfId="1" applyNumberFormat="1" applyFont="1" applyFill="1" applyBorder="1" applyAlignment="1">
      <alignment wrapText="1"/>
    </xf>
    <xf numFmtId="164" fontId="11" fillId="2" borderId="0" xfId="1" applyNumberFormat="1" applyFont="1" applyFill="1" applyBorder="1"/>
    <xf numFmtId="164" fontId="11" fillId="2" borderId="4" xfId="1" applyNumberFormat="1" applyFont="1" applyFill="1" applyBorder="1"/>
    <xf numFmtId="164" fontId="11" fillId="0" borderId="4" xfId="1" applyNumberFormat="1" applyFont="1" applyFill="1" applyBorder="1"/>
    <xf numFmtId="164" fontId="11" fillId="0" borderId="23" xfId="1" applyNumberFormat="1" applyFont="1" applyFill="1" applyBorder="1"/>
    <xf numFmtId="164" fontId="6" fillId="2" borderId="0" xfId="1" applyNumberFormat="1" applyFont="1" applyFill="1" applyAlignment="1">
      <alignment horizontal="left" vertical="top"/>
    </xf>
    <xf numFmtId="167" fontId="6" fillId="2" borderId="0" xfId="12" applyNumberFormat="1" applyFont="1" applyFill="1"/>
    <xf numFmtId="41" fontId="27" fillId="0" borderId="9" xfId="0" applyNumberFormat="1" applyFont="1" applyBorder="1"/>
    <xf numFmtId="0" fontId="171" fillId="0" borderId="0" xfId="14" applyFont="1"/>
    <xf numFmtId="164" fontId="6" fillId="2" borderId="0" xfId="1" applyNumberFormat="1" applyFont="1" applyFill="1" applyBorder="1" applyAlignment="1">
      <alignment horizontal="center"/>
    </xf>
    <xf numFmtId="164" fontId="6" fillId="2" borderId="0" xfId="1" applyNumberFormat="1" applyFont="1" applyFill="1" applyBorder="1"/>
    <xf numFmtId="164" fontId="0" fillId="2" borderId="0" xfId="1" applyNumberFormat="1" applyFont="1" applyFill="1" applyAlignment="1">
      <alignment horizontal="right"/>
    </xf>
    <xf numFmtId="10" fontId="151" fillId="103" borderId="0" xfId="2" applyNumberFormat="1" applyFont="1" applyFill="1" applyBorder="1"/>
    <xf numFmtId="167" fontId="2" fillId="0" borderId="0" xfId="1" applyNumberFormat="1" applyFont="1" applyFill="1" applyBorder="1" applyAlignment="1">
      <alignment horizontal="center"/>
    </xf>
    <xf numFmtId="164" fontId="164" fillId="0" borderId="0" xfId="1" applyNumberFormat="1" applyFont="1" applyFill="1" applyBorder="1"/>
    <xf numFmtId="165" fontId="164" fillId="0" borderId="4" xfId="1" applyNumberFormat="1" applyFont="1" applyFill="1" applyBorder="1"/>
    <xf numFmtId="10" fontId="164" fillId="0" borderId="0" xfId="1" applyNumberFormat="1" applyFont="1" applyFill="1" applyBorder="1"/>
    <xf numFmtId="0" fontId="0" fillId="0" borderId="0" xfId="0" applyAlignment="1">
      <alignment vertical="top"/>
    </xf>
    <xf numFmtId="0" fontId="27" fillId="0" borderId="0" xfId="0" applyFont="1" applyAlignment="1">
      <alignment horizontal="right"/>
    </xf>
    <xf numFmtId="0" fontId="11" fillId="0" borderId="0" xfId="0" applyFont="1" applyAlignment="1">
      <alignment horizontal="right"/>
    </xf>
    <xf numFmtId="10" fontId="164" fillId="0" borderId="0" xfId="2" applyNumberFormat="1" applyFont="1" applyFill="1" applyBorder="1"/>
    <xf numFmtId="164" fontId="0" fillId="0" borderId="0" xfId="1" applyNumberFormat="1" applyFont="1" applyFill="1" applyBorder="1" applyAlignment="1">
      <alignment horizontal="center" wrapText="1"/>
    </xf>
    <xf numFmtId="164" fontId="165" fillId="0" borderId="0" xfId="1" applyNumberFormat="1" applyFont="1" applyFill="1" applyBorder="1"/>
    <xf numFmtId="0" fontId="4" fillId="0" borderId="0" xfId="6" applyAlignment="1">
      <alignment horizontal="center" wrapText="1"/>
    </xf>
    <xf numFmtId="0" fontId="4" fillId="0" borderId="4" xfId="6" applyBorder="1" applyAlignment="1">
      <alignment horizontal="center"/>
    </xf>
    <xf numFmtId="17" fontId="4" fillId="0" borderId="4" xfId="6" applyNumberFormat="1" applyBorder="1" applyAlignment="1">
      <alignment horizontal="center"/>
    </xf>
    <xf numFmtId="164" fontId="4" fillId="0" borderId="4" xfId="1" applyNumberFormat="1" applyFont="1" applyFill="1" applyBorder="1"/>
    <xf numFmtId="17" fontId="4" fillId="0" borderId="0" xfId="6" applyNumberFormat="1" applyAlignment="1">
      <alignment horizontal="center"/>
    </xf>
    <xf numFmtId="0" fontId="27" fillId="0" borderId="8" xfId="0" applyFont="1" applyBorder="1"/>
    <xf numFmtId="173" fontId="11" fillId="0" borderId="0" xfId="1" applyNumberFormat="1" applyFont="1" applyFill="1" applyBorder="1"/>
    <xf numFmtId="43" fontId="0" fillId="0" borderId="0" xfId="1" quotePrefix="1" applyFont="1" applyFill="1" applyBorder="1"/>
    <xf numFmtId="164" fontId="27" fillId="0" borderId="0" xfId="1" applyNumberFormat="1" applyFont="1" applyFill="1" applyBorder="1"/>
    <xf numFmtId="0" fontId="27" fillId="0" borderId="9" xfId="0" applyFont="1" applyBorder="1"/>
    <xf numFmtId="43" fontId="11" fillId="0" borderId="0" xfId="1" quotePrefix="1" applyFont="1" applyFill="1" applyBorder="1"/>
    <xf numFmtId="0" fontId="166" fillId="0" borderId="0" xfId="0" applyFont="1"/>
    <xf numFmtId="0" fontId="166" fillId="0" borderId="11" xfId="0" applyFont="1" applyBorder="1"/>
    <xf numFmtId="0" fontId="11" fillId="0" borderId="11" xfId="0" applyFont="1" applyBorder="1"/>
    <xf numFmtId="164" fontId="11" fillId="0" borderId="11" xfId="1" applyNumberFormat="1" applyFont="1" applyFill="1" applyBorder="1"/>
    <xf numFmtId="164" fontId="11" fillId="0" borderId="20" xfId="1" applyNumberFormat="1" applyFont="1" applyFill="1" applyBorder="1"/>
    <xf numFmtId="0" fontId="11" fillId="0" borderId="12" xfId="0" applyFont="1" applyBorder="1"/>
    <xf numFmtId="10" fontId="11" fillId="0" borderId="0" xfId="1" applyNumberFormat="1" applyFont="1" applyFill="1" applyBorder="1"/>
    <xf numFmtId="0" fontId="162" fillId="0" borderId="0" xfId="0" applyFont="1"/>
    <xf numFmtId="164" fontId="170" fillId="0" borderId="0" xfId="1" applyNumberFormat="1" applyFont="1" applyFill="1" applyBorder="1"/>
    <xf numFmtId="41" fontId="2" fillId="0" borderId="0" xfId="0" quotePrefix="1" applyNumberFormat="1" applyFont="1" applyAlignment="1">
      <alignment horizontal="left"/>
    </xf>
    <xf numFmtId="14" fontId="2" fillId="0" borderId="16" xfId="0" applyNumberFormat="1" applyFont="1" applyBorder="1" applyAlignment="1">
      <alignment horizontal="center" wrapText="1"/>
    </xf>
    <xf numFmtId="41" fontId="11" fillId="0" borderId="0" xfId="0" applyNumberFormat="1" applyFont="1"/>
    <xf numFmtId="10" fontId="27" fillId="0" borderId="0" xfId="0" applyNumberFormat="1" applyFont="1"/>
    <xf numFmtId="1" fontId="2" fillId="0" borderId="16" xfId="1" quotePrefix="1" applyNumberFormat="1" applyFont="1" applyFill="1" applyBorder="1" applyAlignment="1">
      <alignment horizontal="center" wrapText="1"/>
    </xf>
    <xf numFmtId="164" fontId="165" fillId="0" borderId="0" xfId="1" applyNumberFormat="1" applyFont="1" applyFill="1" applyBorder="1" applyAlignment="1">
      <alignment wrapText="1"/>
    </xf>
    <xf numFmtId="164" fontId="165" fillId="0" borderId="0" xfId="1" applyNumberFormat="1" applyFont="1" applyFill="1" applyBorder="1" applyAlignment="1">
      <alignment horizontal="center" wrapText="1"/>
    </xf>
    <xf numFmtId="164" fontId="165" fillId="0" borderId="0" xfId="1" applyNumberFormat="1" applyFont="1" applyFill="1" applyAlignment="1">
      <alignment horizontal="center" wrapText="1"/>
    </xf>
    <xf numFmtId="17" fontId="0" fillId="0" borderId="0" xfId="0" applyNumberFormat="1"/>
    <xf numFmtId="164" fontId="158" fillId="0" borderId="0" xfId="1" applyNumberFormat="1" applyFont="1" applyFill="1"/>
    <xf numFmtId="43" fontId="162" fillId="0" borderId="0" xfId="1" applyFont="1" applyFill="1"/>
    <xf numFmtId="218" fontId="162" fillId="0" borderId="0" xfId="0" applyNumberFormat="1" applyFont="1"/>
    <xf numFmtId="0" fontId="172" fillId="0" borderId="0" xfId="0" applyFont="1" applyAlignment="1">
      <alignment horizontal="center"/>
    </xf>
    <xf numFmtId="0" fontId="172" fillId="0" borderId="0" xfId="0" applyFont="1" applyAlignment="1">
      <alignment horizontal="left"/>
    </xf>
    <xf numFmtId="9" fontId="162" fillId="0" borderId="0" xfId="2" applyFont="1" applyFill="1"/>
    <xf numFmtId="175" fontId="162" fillId="0" borderId="0" xfId="2" applyNumberFormat="1" applyFont="1" applyFill="1"/>
    <xf numFmtId="164" fontId="1" fillId="0" borderId="4" xfId="1" applyNumberFormat="1" applyFont="1" applyFill="1" applyBorder="1"/>
    <xf numFmtId="10" fontId="0" fillId="2" borderId="21" xfId="2" applyNumberFormat="1" applyFont="1" applyFill="1" applyBorder="1"/>
    <xf numFmtId="0" fontId="0" fillId="0" borderId="0" xfId="4" applyNumberFormat="1" applyFont="1" applyFill="1"/>
    <xf numFmtId="0" fontId="0" fillId="0" borderId="4" xfId="4" applyNumberFormat="1" applyFont="1" applyFill="1" applyBorder="1"/>
    <xf numFmtId="0" fontId="0" fillId="0" borderId="0" xfId="2" applyNumberFormat="1" applyFont="1" applyFill="1"/>
    <xf numFmtId="43" fontId="6" fillId="0" borderId="0" xfId="14" applyNumberFormat="1" applyAlignment="1">
      <alignment horizontal="center"/>
    </xf>
    <xf numFmtId="0" fontId="6" fillId="2" borderId="0" xfId="14" applyFill="1"/>
    <xf numFmtId="0" fontId="6" fillId="2" borderId="0" xfId="14" applyFill="1" applyAlignment="1">
      <alignment horizontal="right"/>
    </xf>
    <xf numFmtId="2" fontId="6" fillId="2" borderId="0" xfId="14" applyNumberFormat="1" applyFill="1"/>
    <xf numFmtId="164" fontId="14" fillId="2" borderId="0" xfId="1" applyNumberFormat="1" applyFont="1" applyFill="1" applyBorder="1" applyAlignment="1">
      <alignment horizontal="center"/>
    </xf>
    <xf numFmtId="164" fontId="11" fillId="2" borderId="0" xfId="1" applyNumberFormat="1" applyFont="1" applyFill="1" applyBorder="1" applyAlignment="1">
      <alignment horizontal="center"/>
    </xf>
    <xf numFmtId="164" fontId="0" fillId="0" borderId="0" xfId="1" applyNumberFormat="1" applyFont="1" applyFill="1" applyAlignment="1">
      <alignment horizontal="left"/>
    </xf>
    <xf numFmtId="0" fontId="158" fillId="2" borderId="49" xfId="0" applyFont="1" applyFill="1" applyBorder="1" applyAlignment="1">
      <alignment horizontal="left"/>
    </xf>
    <xf numFmtId="0" fontId="157" fillId="2" borderId="49" xfId="0" applyFont="1" applyFill="1" applyBorder="1" applyAlignment="1">
      <alignment horizontal="left"/>
    </xf>
    <xf numFmtId="10" fontId="163" fillId="0" borderId="76" xfId="2" applyNumberFormat="1" applyFont="1" applyFill="1" applyBorder="1" applyAlignment="1">
      <alignment horizontal="center" wrapText="1"/>
    </xf>
    <xf numFmtId="10" fontId="163" fillId="0" borderId="49" xfId="2" applyNumberFormat="1" applyFont="1" applyFill="1" applyBorder="1" applyAlignment="1">
      <alignment horizontal="center" wrapText="1"/>
    </xf>
    <xf numFmtId="10" fontId="160" fillId="0" borderId="49" xfId="2" applyNumberFormat="1" applyFont="1" applyFill="1" applyBorder="1" applyAlignment="1">
      <alignment horizontal="center" wrapText="1"/>
    </xf>
    <xf numFmtId="10" fontId="163" fillId="0" borderId="0" xfId="2" applyNumberFormat="1" applyFont="1" applyFill="1" applyAlignment="1">
      <alignment horizontal="center" wrapText="1"/>
    </xf>
    <xf numFmtId="10" fontId="160" fillId="0" borderId="0" xfId="2" applyNumberFormat="1" applyFont="1" applyFill="1" applyAlignment="1">
      <alignment horizontal="center" wrapText="1"/>
    </xf>
    <xf numFmtId="14" fontId="158" fillId="2" borderId="48" xfId="0" applyNumberFormat="1" applyFont="1" applyFill="1" applyBorder="1" applyAlignment="1">
      <alignment horizontal="center"/>
    </xf>
    <xf numFmtId="43" fontId="160" fillId="0" borderId="0" xfId="0" applyNumberFormat="1" applyFont="1" applyAlignment="1">
      <alignment horizontal="right"/>
    </xf>
    <xf numFmtId="0" fontId="87" fillId="0" borderId="0" xfId="35" applyFont="1" applyAlignment="1">
      <alignment horizontal="center"/>
    </xf>
    <xf numFmtId="219" fontId="0" fillId="0" borderId="0" xfId="2" applyNumberFormat="1" applyFont="1" applyFill="1" applyAlignment="1">
      <alignment horizontal="left"/>
    </xf>
    <xf numFmtId="0" fontId="0" fillId="0" borderId="0" xfId="2" applyNumberFormat="1" applyFont="1" applyFill="1" applyAlignment="1">
      <alignment horizontal="left"/>
    </xf>
    <xf numFmtId="0" fontId="0" fillId="2" borderId="0" xfId="4" applyNumberFormat="1" applyFont="1" applyFill="1"/>
    <xf numFmtId="0" fontId="174" fillId="0" borderId="0" xfId="0" applyFont="1"/>
    <xf numFmtId="0" fontId="152" fillId="0" borderId="25" xfId="0" applyFont="1" applyBorder="1"/>
    <xf numFmtId="0" fontId="3" fillId="0" borderId="8" xfId="0" applyFont="1" applyBorder="1"/>
    <xf numFmtId="0" fontId="158" fillId="0" borderId="0" xfId="0" quotePrefix="1" applyFont="1" applyAlignment="1">
      <alignment horizontal="left"/>
    </xf>
    <xf numFmtId="0" fontId="161" fillId="0" borderId="0" xfId="0" applyFont="1"/>
    <xf numFmtId="164" fontId="163" fillId="0" borderId="0" xfId="1" applyNumberFormat="1" applyFont="1" applyFill="1"/>
    <xf numFmtId="0" fontId="155" fillId="0" borderId="0" xfId="0" applyFont="1"/>
    <xf numFmtId="0" fontId="157" fillId="0" borderId="0" xfId="0" quotePrefix="1" applyFont="1" applyAlignment="1">
      <alignment horizontal="left"/>
    </xf>
    <xf numFmtId="164" fontId="158" fillId="0" borderId="0" xfId="0" applyNumberFormat="1" applyFont="1"/>
    <xf numFmtId="0" fontId="157" fillId="0" borderId="0" xfId="0" applyFont="1" applyAlignment="1">
      <alignment horizontal="center"/>
    </xf>
    <xf numFmtId="0" fontId="158" fillId="0" borderId="0" xfId="0" applyFont="1" applyAlignment="1">
      <alignment horizontal="center"/>
    </xf>
    <xf numFmtId="164" fontId="158" fillId="0" borderId="0" xfId="1" applyNumberFormat="1" applyFont="1" applyFill="1" applyAlignment="1">
      <alignment horizontal="center"/>
    </xf>
    <xf numFmtId="0" fontId="158" fillId="0" borderId="0" xfId="0" applyFont="1" applyAlignment="1">
      <alignment horizontal="centerContinuous"/>
    </xf>
    <xf numFmtId="0" fontId="167" fillId="0" borderId="0" xfId="16888" applyFont="1" applyFill="1" applyAlignment="1">
      <alignment horizontal="centerContinuous"/>
    </xf>
    <xf numFmtId="0" fontId="168" fillId="0" borderId="0" xfId="16888" applyFont="1" applyFill="1" applyAlignment="1">
      <alignment horizontal="centerContinuous"/>
    </xf>
    <xf numFmtId="0" fontId="163" fillId="0" borderId="0" xfId="0" applyFont="1" applyAlignment="1">
      <alignment horizontal="center"/>
    </xf>
    <xf numFmtId="0" fontId="163" fillId="0" borderId="0" xfId="0" applyFont="1" applyAlignment="1">
      <alignment horizontal="centerContinuous"/>
    </xf>
    <xf numFmtId="0" fontId="155" fillId="0" borderId="0" xfId="0" applyFont="1" applyAlignment="1">
      <alignment horizontal="center"/>
    </xf>
    <xf numFmtId="0" fontId="168" fillId="0" borderId="0" xfId="0" applyFont="1" applyAlignment="1">
      <alignment horizontal="center"/>
    </xf>
    <xf numFmtId="0" fontId="157" fillId="0" borderId="42" xfId="0" applyFont="1" applyBorder="1" applyAlignment="1">
      <alignment horizontal="center"/>
    </xf>
    <xf numFmtId="0" fontId="157" fillId="0" borderId="42" xfId="0" applyFont="1" applyBorder="1" applyAlignment="1">
      <alignment horizontal="center" wrapText="1"/>
    </xf>
    <xf numFmtId="164" fontId="157" fillId="0" borderId="42" xfId="1" applyNumberFormat="1" applyFont="1" applyFill="1" applyBorder="1" applyAlignment="1">
      <alignment horizontal="center"/>
    </xf>
    <xf numFmtId="164" fontId="157" fillId="0" borderId="74" xfId="1" quotePrefix="1" applyNumberFormat="1" applyFont="1" applyFill="1" applyBorder="1" applyAlignment="1">
      <alignment horizontal="center"/>
    </xf>
    <xf numFmtId="164" fontId="157" fillId="0" borderId="42" xfId="1" quotePrefix="1" applyNumberFormat="1" applyFont="1" applyFill="1" applyBorder="1" applyAlignment="1">
      <alignment horizontal="center"/>
    </xf>
    <xf numFmtId="0" fontId="157" fillId="0" borderId="25" xfId="0" applyFont="1" applyBorder="1" applyAlignment="1">
      <alignment horizontal="center" wrapText="1"/>
    </xf>
    <xf numFmtId="0" fontId="160" fillId="0" borderId="25" xfId="0" applyFont="1" applyBorder="1" applyAlignment="1">
      <alignment horizontal="center" wrapText="1"/>
    </xf>
    <xf numFmtId="0" fontId="160" fillId="0" borderId="74" xfId="0" applyFont="1" applyBorder="1" applyAlignment="1">
      <alignment horizontal="center" wrapText="1"/>
    </xf>
    <xf numFmtId="0" fontId="160" fillId="0" borderId="42" xfId="0" applyFont="1" applyBorder="1" applyAlignment="1">
      <alignment horizontal="center" wrapText="1"/>
    </xf>
    <xf numFmtId="164" fontId="158" fillId="0" borderId="73" xfId="1" applyNumberFormat="1" applyFont="1" applyFill="1" applyBorder="1"/>
    <xf numFmtId="0" fontId="158" fillId="0" borderId="76" xfId="0" applyFont="1" applyBorder="1" applyAlignment="1">
      <alignment horizontal="left"/>
    </xf>
    <xf numFmtId="0" fontId="158" fillId="0" borderId="73" xfId="0" applyFont="1" applyBorder="1" applyAlignment="1">
      <alignment horizontal="left"/>
    </xf>
    <xf numFmtId="0" fontId="158" fillId="0" borderId="73" xfId="0" applyFont="1" applyBorder="1" applyAlignment="1">
      <alignment horizontal="center"/>
    </xf>
    <xf numFmtId="14" fontId="158" fillId="0" borderId="73" xfId="0" applyNumberFormat="1" applyFont="1" applyBorder="1" applyAlignment="1">
      <alignment horizontal="center"/>
    </xf>
    <xf numFmtId="10" fontId="158" fillId="0" borderId="76" xfId="2" applyNumberFormat="1" applyFont="1" applyFill="1" applyBorder="1" applyAlignment="1">
      <alignment horizontal="center"/>
    </xf>
    <xf numFmtId="10" fontId="158" fillId="0" borderId="23" xfId="2" applyNumberFormat="1" applyFont="1" applyFill="1" applyBorder="1" applyAlignment="1">
      <alignment horizontal="center"/>
    </xf>
    <xf numFmtId="10" fontId="158" fillId="0" borderId="77" xfId="2" applyNumberFormat="1" applyFont="1" applyFill="1" applyBorder="1" applyAlignment="1">
      <alignment horizontal="center"/>
    </xf>
    <xf numFmtId="164" fontId="158" fillId="0" borderId="76" xfId="1" applyNumberFormat="1" applyFont="1" applyFill="1" applyBorder="1"/>
    <xf numFmtId="164" fontId="158" fillId="0" borderId="23" xfId="1" applyNumberFormat="1" applyFont="1" applyFill="1" applyBorder="1"/>
    <xf numFmtId="164" fontId="158" fillId="0" borderId="77" xfId="1" applyNumberFormat="1" applyFont="1" applyFill="1" applyBorder="1"/>
    <xf numFmtId="10" fontId="158" fillId="0" borderId="0" xfId="2" applyNumberFormat="1" applyFont="1" applyFill="1" applyAlignment="1">
      <alignment horizontal="center"/>
    </xf>
    <xf numFmtId="164" fontId="158" fillId="0" borderId="49" xfId="1" applyNumberFormat="1" applyFont="1" applyFill="1" applyBorder="1"/>
    <xf numFmtId="164" fontId="163" fillId="0" borderId="72" xfId="1" applyNumberFormat="1" applyFont="1" applyFill="1" applyBorder="1" applyAlignment="1">
      <alignment wrapText="1"/>
    </xf>
    <xf numFmtId="164" fontId="163" fillId="0" borderId="73" xfId="1" applyNumberFormat="1" applyFont="1" applyFill="1" applyBorder="1" applyAlignment="1">
      <alignment wrapText="1"/>
    </xf>
    <xf numFmtId="10" fontId="163" fillId="0" borderId="23" xfId="2" applyNumberFormat="1" applyFont="1" applyFill="1" applyBorder="1" applyAlignment="1">
      <alignment horizontal="center" wrapText="1"/>
    </xf>
    <xf numFmtId="10" fontId="163" fillId="0" borderId="77" xfId="2" applyNumberFormat="1" applyFont="1" applyFill="1" applyBorder="1" applyAlignment="1">
      <alignment horizontal="center" wrapText="1"/>
    </xf>
    <xf numFmtId="164" fontId="158" fillId="0" borderId="48" xfId="1" applyNumberFormat="1" applyFont="1" applyFill="1" applyBorder="1"/>
    <xf numFmtId="10" fontId="158" fillId="0" borderId="49" xfId="2" applyNumberFormat="1" applyFont="1" applyFill="1" applyBorder="1" applyAlignment="1">
      <alignment horizontal="center"/>
    </xf>
    <xf numFmtId="10" fontId="158" fillId="0" borderId="72" xfId="2" applyNumberFormat="1" applyFont="1" applyFill="1" applyBorder="1" applyAlignment="1">
      <alignment horizontal="center"/>
    </xf>
    <xf numFmtId="164" fontId="158" fillId="0" borderId="72" xfId="1" applyNumberFormat="1" applyFont="1" applyFill="1" applyBorder="1"/>
    <xf numFmtId="164" fontId="0" fillId="0" borderId="0" xfId="1" applyNumberFormat="1" applyFont="1" applyFill="1" applyAlignment="1">
      <alignment horizontal="right"/>
    </xf>
    <xf numFmtId="164" fontId="0" fillId="0" borderId="0" xfId="1" applyNumberFormat="1" applyFont="1" applyFill="1" applyAlignment="1"/>
    <xf numFmtId="0" fontId="155" fillId="0" borderId="0" xfId="16887" applyFont="1"/>
    <xf numFmtId="175" fontId="162" fillId="0" borderId="0" xfId="0" applyNumberFormat="1" applyFont="1"/>
    <xf numFmtId="0" fontId="0" fillId="0" borderId="8" xfId="0" quotePrefix="1" applyBorder="1" applyAlignment="1">
      <alignment horizontal="left"/>
    </xf>
    <xf numFmtId="40" fontId="175" fillId="0" borderId="4" xfId="7" applyNumberFormat="1" applyFont="1" applyFill="1" applyBorder="1" applyAlignment="1">
      <alignment horizontal="center" wrapText="1"/>
    </xf>
    <xf numFmtId="0" fontId="159" fillId="0" borderId="49" xfId="0" applyFont="1" applyBorder="1" applyAlignment="1">
      <alignment horizontal="left"/>
    </xf>
    <xf numFmtId="0" fontId="160" fillId="0" borderId="0" xfId="0" applyFont="1"/>
    <xf numFmtId="0" fontId="11" fillId="0" borderId="0" xfId="0" quotePrefix="1" applyFont="1" applyFill="1" applyAlignment="1">
      <alignment horizontal="left"/>
    </xf>
    <xf numFmtId="41" fontId="0" fillId="0" borderId="0" xfId="0" applyNumberFormat="1" applyFill="1"/>
    <xf numFmtId="0" fontId="0" fillId="0" borderId="0" xfId="0" applyFill="1"/>
    <xf numFmtId="0" fontId="2" fillId="0" borderId="0" xfId="0" applyFont="1" applyFill="1"/>
    <xf numFmtId="14" fontId="2" fillId="2" borderId="0" xfId="0" applyNumberFormat="1" applyFont="1" applyFill="1" applyAlignment="1">
      <alignment horizontal="center"/>
    </xf>
    <xf numFmtId="14" fontId="2" fillId="2" borderId="0" xfId="36" quotePrefix="1" applyNumberFormat="1" applyFont="1" applyFill="1" applyAlignment="1">
      <alignment horizontal="center"/>
    </xf>
    <xf numFmtId="0" fontId="4" fillId="0" borderId="0" xfId="6" applyFont="1"/>
    <xf numFmtId="0" fontId="0" fillId="0" borderId="0" xfId="0" applyBorder="1"/>
    <xf numFmtId="0" fontId="0" fillId="0" borderId="0" xfId="0" applyFill="1" applyBorder="1"/>
    <xf numFmtId="0" fontId="173" fillId="0" borderId="0" xfId="0" applyFont="1" applyFill="1" applyBorder="1"/>
    <xf numFmtId="164" fontId="0" fillId="0" borderId="0" xfId="0" applyNumberFormat="1" applyBorder="1"/>
    <xf numFmtId="0" fontId="11" fillId="0" borderId="0" xfId="0" applyFont="1" applyAlignment="1">
      <alignment wrapText="1"/>
    </xf>
    <xf numFmtId="0" fontId="2" fillId="2" borderId="0" xfId="0" quotePrefix="1" applyFont="1" applyFill="1" applyAlignment="1">
      <alignment horizontal="center"/>
    </xf>
    <xf numFmtId="43" fontId="0" fillId="0" borderId="0" xfId="2" applyNumberFormat="1" applyFont="1" applyFill="1" applyAlignment="1">
      <alignment horizontal="left"/>
    </xf>
    <xf numFmtId="164" fontId="1" fillId="0" borderId="23" xfId="1" applyNumberFormat="1" applyFont="1" applyFill="1" applyBorder="1"/>
    <xf numFmtId="43" fontId="0" fillId="0" borderId="0" xfId="1" applyNumberFormat="1" applyFont="1"/>
    <xf numFmtId="0" fontId="11" fillId="0" borderId="0" xfId="0" applyFont="1" applyFill="1"/>
    <xf numFmtId="0" fontId="27" fillId="0" borderId="0" xfId="0" applyFont="1" applyFill="1"/>
    <xf numFmtId="41" fontId="0" fillId="0" borderId="23" xfId="0" applyNumberFormat="1" applyBorder="1"/>
    <xf numFmtId="0" fontId="0" fillId="0" borderId="0" xfId="0" applyAlignment="1">
      <alignment horizontal="left" vertical="center" wrapText="1"/>
    </xf>
    <xf numFmtId="0" fontId="11" fillId="0" borderId="0" xfId="0" applyFont="1" applyAlignment="1">
      <alignment horizontal="left" wrapText="1"/>
    </xf>
    <xf numFmtId="0" fontId="7" fillId="0" borderId="0" xfId="14" applyFont="1" applyAlignment="1">
      <alignment horizontal="center"/>
    </xf>
    <xf numFmtId="0" fontId="160" fillId="0" borderId="49" xfId="0" applyFont="1" applyBorder="1" applyAlignment="1">
      <alignment horizontal="left" indent="2"/>
    </xf>
    <xf numFmtId="0" fontId="160" fillId="0" borderId="0" xfId="0" applyFont="1" applyAlignment="1">
      <alignment horizontal="left" indent="2"/>
    </xf>
    <xf numFmtId="0" fontId="157" fillId="0" borderId="42" xfId="0" applyFont="1" applyBorder="1" applyAlignment="1">
      <alignment horizontal="center"/>
    </xf>
    <xf numFmtId="164" fontId="157" fillId="0" borderId="42" xfId="1" applyNumberFormat="1" applyFont="1" applyFill="1" applyBorder="1" applyAlignment="1">
      <alignment horizontal="center" wrapText="1"/>
    </xf>
    <xf numFmtId="164" fontId="157" fillId="0" borderId="42" xfId="1" applyNumberFormat="1" applyFont="1" applyFill="1" applyBorder="1" applyAlignment="1">
      <alignment horizontal="center"/>
    </xf>
    <xf numFmtId="0" fontId="157" fillId="0" borderId="73" xfId="0" applyFont="1" applyBorder="1" applyAlignment="1">
      <alignment horizontal="center" wrapText="1"/>
    </xf>
    <xf numFmtId="0" fontId="157" fillId="0" borderId="75" xfId="0" applyFont="1" applyBorder="1" applyAlignment="1">
      <alignment horizontal="center"/>
    </xf>
    <xf numFmtId="164" fontId="157" fillId="0" borderId="25" xfId="1" quotePrefix="1" applyNumberFormat="1" applyFont="1" applyFill="1" applyBorder="1" applyAlignment="1">
      <alignment horizontal="center"/>
    </xf>
    <xf numFmtId="164" fontId="157" fillId="0" borderId="14" xfId="1" quotePrefix="1" applyNumberFormat="1" applyFont="1" applyFill="1" applyBorder="1" applyAlignment="1">
      <alignment horizontal="center"/>
    </xf>
    <xf numFmtId="164" fontId="157" fillId="0" borderId="74" xfId="1" quotePrefix="1" applyNumberFormat="1" applyFont="1" applyFill="1" applyBorder="1" applyAlignment="1">
      <alignment horizontal="center"/>
    </xf>
    <xf numFmtId="0" fontId="157" fillId="0" borderId="25" xfId="0" applyFont="1" applyBorder="1" applyAlignment="1">
      <alignment horizontal="center"/>
    </xf>
    <xf numFmtId="0" fontId="157" fillId="0" borderId="14" xfId="0" applyFont="1" applyBorder="1" applyAlignment="1">
      <alignment horizontal="center"/>
    </xf>
    <xf numFmtId="0" fontId="157" fillId="0" borderId="74" xfId="0" applyFont="1" applyBorder="1" applyAlignment="1">
      <alignment horizontal="center"/>
    </xf>
    <xf numFmtId="164" fontId="160" fillId="0" borderId="42" xfId="1" applyNumberFormat="1" applyFont="1" applyFill="1" applyBorder="1" applyAlignment="1">
      <alignment horizontal="center" wrapText="1" shrinkToFit="1"/>
    </xf>
    <xf numFmtId="0" fontId="157" fillId="0" borderId="42" xfId="0" applyFont="1" applyBorder="1" applyAlignment="1">
      <alignment horizontal="center" wrapText="1" shrinkToFit="1"/>
    </xf>
    <xf numFmtId="0" fontId="157" fillId="0" borderId="42" xfId="0" applyFont="1" applyBorder="1" applyAlignment="1">
      <alignment horizontal="center" wrapText="1"/>
    </xf>
    <xf numFmtId="0" fontId="157" fillId="0" borderId="73" xfId="0" applyFont="1" applyBorder="1" applyAlignment="1">
      <alignment horizontal="center"/>
    </xf>
    <xf numFmtId="0" fontId="157" fillId="0" borderId="75" xfId="0" applyFont="1" applyBorder="1" applyAlignment="1">
      <alignment horizontal="center" wrapText="1"/>
    </xf>
    <xf numFmtId="10" fontId="0" fillId="104" borderId="0" xfId="0" applyNumberFormat="1" applyFill="1"/>
  </cellXfs>
  <cellStyles count="16889">
    <cellStyle name="_x0013_" xfId="3227" xr:uid="{00000000-0005-0000-0000-000000000000}"/>
    <cellStyle name=" 1" xfId="3228" xr:uid="{00000000-0005-0000-0000-000001000000}"/>
    <cellStyle name=" 1 2" xfId="3229" xr:uid="{00000000-0005-0000-0000-000002000000}"/>
    <cellStyle name=" 1 2 2" xfId="3230" xr:uid="{00000000-0005-0000-0000-000003000000}"/>
    <cellStyle name=" 1 2 2 2" xfId="3231" xr:uid="{00000000-0005-0000-0000-000004000000}"/>
    <cellStyle name=" 1 2 3" xfId="3232" xr:uid="{00000000-0005-0000-0000-000005000000}"/>
    <cellStyle name=" 1 2_Actual" xfId="3233" xr:uid="{00000000-0005-0000-0000-000006000000}"/>
    <cellStyle name=" 1 3" xfId="3234" xr:uid="{00000000-0005-0000-0000-000007000000}"/>
    <cellStyle name=" 1 3 2" xfId="3235" xr:uid="{00000000-0005-0000-0000-000008000000}"/>
    <cellStyle name=" 1 4" xfId="3236" xr:uid="{00000000-0005-0000-0000-000009000000}"/>
    <cellStyle name=" 1_Actual" xfId="3237" xr:uid="{00000000-0005-0000-0000-00000A000000}"/>
    <cellStyle name="_x0013_ 2" xfId="3238" xr:uid="{00000000-0005-0000-0000-00000B000000}"/>
    <cellStyle name="_x0013_ 2 2" xfId="3239" xr:uid="{00000000-0005-0000-0000-00000C000000}"/>
    <cellStyle name="_x0013_ 2 2 2" xfId="3240" xr:uid="{00000000-0005-0000-0000-00000D000000}"/>
    <cellStyle name="_x0013_ 3" xfId="3241" xr:uid="{00000000-0005-0000-0000-00000E000000}"/>
    <cellStyle name="_x0013_ 4" xfId="3242" xr:uid="{00000000-0005-0000-0000-00000F000000}"/>
    <cellStyle name="_x0013_ 5" xfId="3243" xr:uid="{00000000-0005-0000-0000-000010000000}"/>
    <cellStyle name="??" xfId="3244" xr:uid="{00000000-0005-0000-0000-000011000000}"/>
    <cellStyle name="?? [0]_BINV" xfId="3245" xr:uid="{00000000-0005-0000-0000-000012000000}"/>
    <cellStyle name="???[0]_BINV" xfId="3246" xr:uid="{00000000-0005-0000-0000-000013000000}"/>
    <cellStyle name="???_BINV" xfId="3247" xr:uid="{00000000-0005-0000-0000-000014000000}"/>
    <cellStyle name="??[0]_laroux" xfId="3248" xr:uid="{00000000-0005-0000-0000-000015000000}"/>
    <cellStyle name="??_BINV" xfId="3249" xr:uid="{00000000-0005-0000-0000-000016000000}"/>
    <cellStyle name="_4C 0105 to 0905" xfId="3250" xr:uid="{00000000-0005-0000-0000-000017000000}"/>
    <cellStyle name="_4C 0105 to 0905 2" xfId="3251" xr:uid="{00000000-0005-0000-0000-000018000000}"/>
    <cellStyle name="_4C 0105 to 0905 2 2" xfId="3252" xr:uid="{00000000-0005-0000-0000-000019000000}"/>
    <cellStyle name="_4C 0105 to 0905 2 2 2" xfId="3253" xr:uid="{00000000-0005-0000-0000-00001A000000}"/>
    <cellStyle name="_4C 0105 to 0905 2 3" xfId="3254" xr:uid="{00000000-0005-0000-0000-00001B000000}"/>
    <cellStyle name="_4C 0105 to 0905 2_Actual" xfId="3255" xr:uid="{00000000-0005-0000-0000-00001C000000}"/>
    <cellStyle name="_4C 0105 to 0905 2_Actual 2" xfId="3256" xr:uid="{00000000-0005-0000-0000-00001D000000}"/>
    <cellStyle name="_4C 0105 to 0905 3" xfId="3257" xr:uid="{00000000-0005-0000-0000-00001E000000}"/>
    <cellStyle name="_4C 0105 to 0905 3 2" xfId="3258" xr:uid="{00000000-0005-0000-0000-00001F000000}"/>
    <cellStyle name="_4C 0105 to 0905 3_Actual" xfId="3259" xr:uid="{00000000-0005-0000-0000-000020000000}"/>
    <cellStyle name="_4C 0105 to 0905 3_Actual 2" xfId="3260" xr:uid="{00000000-0005-0000-0000-000021000000}"/>
    <cellStyle name="_4C 0105 to 0905 4" xfId="3261" xr:uid="{00000000-0005-0000-0000-000022000000}"/>
    <cellStyle name="_4C 0105 to 0905 4 2" xfId="3262" xr:uid="{00000000-0005-0000-0000-000023000000}"/>
    <cellStyle name="_4C 0105 to 0905 4 2 2" xfId="3263" xr:uid="{00000000-0005-0000-0000-000024000000}"/>
    <cellStyle name="_4C 0105 to 0905 4 3" xfId="3264" xr:uid="{00000000-0005-0000-0000-000025000000}"/>
    <cellStyle name="_4C 0105 to 0905 4_Actual" xfId="3265" xr:uid="{00000000-0005-0000-0000-000026000000}"/>
    <cellStyle name="_4C 0105 to 0905 4_Actual 2" xfId="3266" xr:uid="{00000000-0005-0000-0000-000027000000}"/>
    <cellStyle name="_4C 0105 to 0905 5" xfId="3267" xr:uid="{00000000-0005-0000-0000-000028000000}"/>
    <cellStyle name="_4C 0105 to 0905_2010 Q2RF TX 07152010 b (2)" xfId="3268" xr:uid="{00000000-0005-0000-0000-000029000000}"/>
    <cellStyle name="_4C 0105 to 0905_Actual" xfId="3269" xr:uid="{00000000-0005-0000-0000-00002A000000}"/>
    <cellStyle name="_4C 0105 to 0905_Actual 2" xfId="3270" xr:uid="{00000000-0005-0000-0000-00002B000000}"/>
    <cellStyle name="_4C 0105 to 0905_Actual 2 2" xfId="3271" xr:uid="{00000000-0005-0000-0000-00002C000000}"/>
    <cellStyle name="_4C 0105 to 0905_Actual 2 2 2" xfId="3272" xr:uid="{00000000-0005-0000-0000-00002D000000}"/>
    <cellStyle name="_4C 0105 to 0905_Actual 2 3" xfId="3273" xr:uid="{00000000-0005-0000-0000-00002E000000}"/>
    <cellStyle name="_4C 0105 to 0905_Actual 2_Actual" xfId="3274" xr:uid="{00000000-0005-0000-0000-00002F000000}"/>
    <cellStyle name="_4C 0105 to 0905_Actual 2_Actual 2" xfId="3275" xr:uid="{00000000-0005-0000-0000-000030000000}"/>
    <cellStyle name="_4C 0105 to 0905_Actual 3" xfId="3276" xr:uid="{00000000-0005-0000-0000-000031000000}"/>
    <cellStyle name="_4C 0105 to 0905_Actual 3 2" xfId="3277" xr:uid="{00000000-0005-0000-0000-000032000000}"/>
    <cellStyle name="_4C 0105 to 0905_Actual 3_Actual" xfId="3278" xr:uid="{00000000-0005-0000-0000-000033000000}"/>
    <cellStyle name="_4C 0105 to 0905_Actual 3_Actual 2" xfId="3279" xr:uid="{00000000-0005-0000-0000-000034000000}"/>
    <cellStyle name="_4C 0105 to 0905_Actual 4" xfId="3280" xr:uid="{00000000-0005-0000-0000-000035000000}"/>
    <cellStyle name="_4C 0105 to 0905_Actual_1" xfId="3281" xr:uid="{00000000-0005-0000-0000-000036000000}"/>
    <cellStyle name="_4C 0105 to 0905_Actual_1 2" xfId="3282" xr:uid="{00000000-0005-0000-0000-000037000000}"/>
    <cellStyle name="_4C 0105 to 0905_Actual_Actual" xfId="3283" xr:uid="{00000000-0005-0000-0000-000038000000}"/>
    <cellStyle name="_4C 0105 to 0905_Actual_Actual 2" xfId="3284" xr:uid="{00000000-0005-0000-0000-000039000000}"/>
    <cellStyle name="_4C 0105 to 0905_Actual_Actual 2 2" xfId="3285" xr:uid="{00000000-0005-0000-0000-00003A000000}"/>
    <cellStyle name="_4C 0105 to 0905_Actual_Actual 3" xfId="3286" xr:uid="{00000000-0005-0000-0000-00003B000000}"/>
    <cellStyle name="_AMS-Cost-Benefit-v10" xfId="3287" xr:uid="{00000000-0005-0000-0000-00003C000000}"/>
    <cellStyle name="_AMS-Cost-Benefit-v10 10" xfId="3288" xr:uid="{00000000-0005-0000-0000-00003D000000}"/>
    <cellStyle name="_AMS-Cost-Benefit-v10 11" xfId="3289" xr:uid="{00000000-0005-0000-0000-00003E000000}"/>
    <cellStyle name="_AMS-Cost-Benefit-v10 12" xfId="3290" xr:uid="{00000000-0005-0000-0000-00003F000000}"/>
    <cellStyle name="_AMS-Cost-Benefit-v10 13" xfId="3291" xr:uid="{00000000-0005-0000-0000-000040000000}"/>
    <cellStyle name="_AMS-Cost-Benefit-v10 14" xfId="3292" xr:uid="{00000000-0005-0000-0000-000041000000}"/>
    <cellStyle name="_AMS-Cost-Benefit-v10 15" xfId="3293" xr:uid="{00000000-0005-0000-0000-000042000000}"/>
    <cellStyle name="_AMS-Cost-Benefit-v10 16" xfId="3294" xr:uid="{00000000-0005-0000-0000-000043000000}"/>
    <cellStyle name="_AMS-Cost-Benefit-v10 17" xfId="3295" xr:uid="{00000000-0005-0000-0000-000044000000}"/>
    <cellStyle name="_AMS-Cost-Benefit-v10 18" xfId="3296" xr:uid="{00000000-0005-0000-0000-000045000000}"/>
    <cellStyle name="_AMS-Cost-Benefit-v10 19" xfId="3297" xr:uid="{00000000-0005-0000-0000-000046000000}"/>
    <cellStyle name="_AMS-Cost-Benefit-v10 2" xfId="3298" xr:uid="{00000000-0005-0000-0000-000047000000}"/>
    <cellStyle name="_AMS-Cost-Benefit-v10 20" xfId="3299" xr:uid="{00000000-0005-0000-0000-000048000000}"/>
    <cellStyle name="_AMS-Cost-Benefit-v10 21" xfId="3300" xr:uid="{00000000-0005-0000-0000-000049000000}"/>
    <cellStyle name="_AMS-Cost-Benefit-v10 22" xfId="3301" xr:uid="{00000000-0005-0000-0000-00004A000000}"/>
    <cellStyle name="_AMS-Cost-Benefit-v10 23" xfId="3302" xr:uid="{00000000-0005-0000-0000-00004B000000}"/>
    <cellStyle name="_AMS-Cost-Benefit-v10 24" xfId="3303" xr:uid="{00000000-0005-0000-0000-00004C000000}"/>
    <cellStyle name="_AMS-Cost-Benefit-v10 25" xfId="3304" xr:uid="{00000000-0005-0000-0000-00004D000000}"/>
    <cellStyle name="_AMS-Cost-Benefit-v10 26" xfId="3305" xr:uid="{00000000-0005-0000-0000-00004E000000}"/>
    <cellStyle name="_AMS-Cost-Benefit-v10 27" xfId="3306" xr:uid="{00000000-0005-0000-0000-00004F000000}"/>
    <cellStyle name="_AMS-Cost-Benefit-v10 28" xfId="3307" xr:uid="{00000000-0005-0000-0000-000050000000}"/>
    <cellStyle name="_AMS-Cost-Benefit-v10 29" xfId="3308" xr:uid="{00000000-0005-0000-0000-000051000000}"/>
    <cellStyle name="_AMS-Cost-Benefit-v10 3" xfId="3309" xr:uid="{00000000-0005-0000-0000-000052000000}"/>
    <cellStyle name="_AMS-Cost-Benefit-v10 30" xfId="3310" xr:uid="{00000000-0005-0000-0000-000053000000}"/>
    <cellStyle name="_AMS-Cost-Benefit-v10 4" xfId="3311" xr:uid="{00000000-0005-0000-0000-000054000000}"/>
    <cellStyle name="_AMS-Cost-Benefit-v10 5" xfId="3312" xr:uid="{00000000-0005-0000-0000-000055000000}"/>
    <cellStyle name="_AMS-Cost-Benefit-v10 6" xfId="3313" xr:uid="{00000000-0005-0000-0000-000056000000}"/>
    <cellStyle name="_AMS-Cost-Benefit-v10 7" xfId="3314" xr:uid="{00000000-0005-0000-0000-000057000000}"/>
    <cellStyle name="_AMS-Cost-Benefit-v10 8" xfId="3315" xr:uid="{00000000-0005-0000-0000-000058000000}"/>
    <cellStyle name="_AMS-Cost-Benefit-v10 9" xfId="3316" xr:uid="{00000000-0005-0000-0000-000059000000}"/>
    <cellStyle name="_Copy of 2009Q2RF Forecast of Large Customers for RPS Exclusion analysis" xfId="3317" xr:uid="{00000000-0005-0000-0000-00005A000000}"/>
    <cellStyle name="_II-E-4.2" xfId="3318" xr:uid="{00000000-0005-0000-0000-00005B000000}"/>
    <cellStyle name="_II-E-4.2_2010 Q2RF TX 07152010 b (2)" xfId="3319" xr:uid="{00000000-0005-0000-0000-00005C000000}"/>
    <cellStyle name="_Inputs" xfId="3320" xr:uid="{00000000-0005-0000-0000-00005D000000}"/>
    <cellStyle name="_Lg Cust Cap" xfId="3321" xr:uid="{00000000-0005-0000-0000-00005E000000}"/>
    <cellStyle name="_Most Likely reg asset and amort (2)" xfId="2989" xr:uid="{00000000-0005-0000-0000-00005F000000}"/>
    <cellStyle name="_Most Likely reg asset and amort (2) 2" xfId="2990" xr:uid="{00000000-0005-0000-0000-000060000000}"/>
    <cellStyle name="_Palo Verde 0105 to 0905" xfId="3322" xr:uid="{00000000-0005-0000-0000-000061000000}"/>
    <cellStyle name="_Palo Verde 0105 to 0905 2" xfId="3323" xr:uid="{00000000-0005-0000-0000-000062000000}"/>
    <cellStyle name="_Palo Verde 0105 to 0905 2 2" xfId="3324" xr:uid="{00000000-0005-0000-0000-000063000000}"/>
    <cellStyle name="_Palo Verde 0105 to 0905 2 2 2" xfId="3325" xr:uid="{00000000-0005-0000-0000-000064000000}"/>
    <cellStyle name="_Palo Verde 0105 to 0905 2 3" xfId="3326" xr:uid="{00000000-0005-0000-0000-000065000000}"/>
    <cellStyle name="_Palo Verde 0105 to 0905 2_Actual" xfId="3327" xr:uid="{00000000-0005-0000-0000-000066000000}"/>
    <cellStyle name="_Palo Verde 0105 to 0905 2_Actual 2" xfId="3328" xr:uid="{00000000-0005-0000-0000-000067000000}"/>
    <cellStyle name="_Palo Verde 0105 to 0905 3" xfId="3329" xr:uid="{00000000-0005-0000-0000-000068000000}"/>
    <cellStyle name="_Palo Verde 0105 to 0905 3 2" xfId="3330" xr:uid="{00000000-0005-0000-0000-000069000000}"/>
    <cellStyle name="_Palo Verde 0105 to 0905 3_Actual" xfId="3331" xr:uid="{00000000-0005-0000-0000-00006A000000}"/>
    <cellStyle name="_Palo Verde 0105 to 0905 3_Actual 2" xfId="3332" xr:uid="{00000000-0005-0000-0000-00006B000000}"/>
    <cellStyle name="_Palo Verde 0105 to 0905 4" xfId="3333" xr:uid="{00000000-0005-0000-0000-00006C000000}"/>
    <cellStyle name="_Palo Verde 0105 to 0905 4 2" xfId="3334" xr:uid="{00000000-0005-0000-0000-00006D000000}"/>
    <cellStyle name="_Palo Verde 0105 to 0905 4 2 2" xfId="3335" xr:uid="{00000000-0005-0000-0000-00006E000000}"/>
    <cellStyle name="_Palo Verde 0105 to 0905 4 3" xfId="3336" xr:uid="{00000000-0005-0000-0000-00006F000000}"/>
    <cellStyle name="_Palo Verde 0105 to 0905 4_Actual" xfId="3337" xr:uid="{00000000-0005-0000-0000-000070000000}"/>
    <cellStyle name="_Palo Verde 0105 to 0905 4_Actual 2" xfId="3338" xr:uid="{00000000-0005-0000-0000-000071000000}"/>
    <cellStyle name="_Palo Verde 0105 to 0905 5" xfId="3339" xr:uid="{00000000-0005-0000-0000-000072000000}"/>
    <cellStyle name="_Palo Verde 0105 to 0905_2010 Q2RF TX 07152010 b (2)" xfId="3340" xr:uid="{00000000-0005-0000-0000-000073000000}"/>
    <cellStyle name="_Palo Verde 0105 to 0905_Actual" xfId="3341" xr:uid="{00000000-0005-0000-0000-000074000000}"/>
    <cellStyle name="_Palo Verde 0105 to 0905_Actual 2" xfId="3342" xr:uid="{00000000-0005-0000-0000-000075000000}"/>
    <cellStyle name="_Palo Verde 0105 to 0905_Actual 2 2" xfId="3343" xr:uid="{00000000-0005-0000-0000-000076000000}"/>
    <cellStyle name="_Palo Verde 0105 to 0905_Actual 2 2 2" xfId="3344" xr:uid="{00000000-0005-0000-0000-000077000000}"/>
    <cellStyle name="_Palo Verde 0105 to 0905_Actual 2 3" xfId="3345" xr:uid="{00000000-0005-0000-0000-000078000000}"/>
    <cellStyle name="_Palo Verde 0105 to 0905_Actual 2_Actual" xfId="3346" xr:uid="{00000000-0005-0000-0000-000079000000}"/>
    <cellStyle name="_Palo Verde 0105 to 0905_Actual 2_Actual 2" xfId="3347" xr:uid="{00000000-0005-0000-0000-00007A000000}"/>
    <cellStyle name="_Palo Verde 0105 to 0905_Actual 3" xfId="3348" xr:uid="{00000000-0005-0000-0000-00007B000000}"/>
    <cellStyle name="_Palo Verde 0105 to 0905_Actual 3 2" xfId="3349" xr:uid="{00000000-0005-0000-0000-00007C000000}"/>
    <cellStyle name="_Palo Verde 0105 to 0905_Actual 3_Actual" xfId="3350" xr:uid="{00000000-0005-0000-0000-00007D000000}"/>
    <cellStyle name="_Palo Verde 0105 to 0905_Actual 3_Actual 2" xfId="3351" xr:uid="{00000000-0005-0000-0000-00007E000000}"/>
    <cellStyle name="_Palo Verde 0105 to 0905_Actual 4" xfId="3352" xr:uid="{00000000-0005-0000-0000-00007F000000}"/>
    <cellStyle name="_Palo Verde 0105 to 0905_Actual_1" xfId="3353" xr:uid="{00000000-0005-0000-0000-000080000000}"/>
    <cellStyle name="_Palo Verde 0105 to 0905_Actual_1 2" xfId="3354" xr:uid="{00000000-0005-0000-0000-000081000000}"/>
    <cellStyle name="_Palo Verde 0105 to 0905_Actual_Actual" xfId="3355" xr:uid="{00000000-0005-0000-0000-000082000000}"/>
    <cellStyle name="_Palo Verde 0105 to 0905_Actual_Actual 2" xfId="3356" xr:uid="{00000000-0005-0000-0000-000083000000}"/>
    <cellStyle name="_Palo Verde 0105 to 0905_Actual_Actual 2 2" xfId="3357" xr:uid="{00000000-0005-0000-0000-000084000000}"/>
    <cellStyle name="_Palo Verde 0105 to 0905_Actual_Actual 3" xfId="3358" xr:uid="{00000000-0005-0000-0000-000085000000}"/>
    <cellStyle name="_Philadelphia (6-27-05)" xfId="3359" xr:uid="{00000000-0005-0000-0000-000086000000}"/>
    <cellStyle name="_Philadelphia (6-27-05) 10" xfId="3360" xr:uid="{00000000-0005-0000-0000-000087000000}"/>
    <cellStyle name="_Philadelphia (6-27-05) 11" xfId="3361" xr:uid="{00000000-0005-0000-0000-000088000000}"/>
    <cellStyle name="_Philadelphia (6-27-05) 12" xfId="3362" xr:uid="{00000000-0005-0000-0000-000089000000}"/>
    <cellStyle name="_Philadelphia (6-27-05) 13" xfId="3363" xr:uid="{00000000-0005-0000-0000-00008A000000}"/>
    <cellStyle name="_Philadelphia (6-27-05) 14" xfId="3364" xr:uid="{00000000-0005-0000-0000-00008B000000}"/>
    <cellStyle name="_Philadelphia (6-27-05) 15" xfId="3365" xr:uid="{00000000-0005-0000-0000-00008C000000}"/>
    <cellStyle name="_Philadelphia (6-27-05) 16" xfId="3366" xr:uid="{00000000-0005-0000-0000-00008D000000}"/>
    <cellStyle name="_Philadelphia (6-27-05) 17" xfId="3367" xr:uid="{00000000-0005-0000-0000-00008E000000}"/>
    <cellStyle name="_Philadelphia (6-27-05) 18" xfId="3368" xr:uid="{00000000-0005-0000-0000-00008F000000}"/>
    <cellStyle name="_Philadelphia (6-27-05) 19" xfId="3369" xr:uid="{00000000-0005-0000-0000-000090000000}"/>
    <cellStyle name="_Philadelphia (6-27-05) 2" xfId="3370" xr:uid="{00000000-0005-0000-0000-000091000000}"/>
    <cellStyle name="_Philadelphia (6-27-05) 20" xfId="3371" xr:uid="{00000000-0005-0000-0000-000092000000}"/>
    <cellStyle name="_Philadelphia (6-27-05) 21" xfId="3372" xr:uid="{00000000-0005-0000-0000-000093000000}"/>
    <cellStyle name="_Philadelphia (6-27-05) 22" xfId="3373" xr:uid="{00000000-0005-0000-0000-000094000000}"/>
    <cellStyle name="_Philadelphia (6-27-05) 23" xfId="3374" xr:uid="{00000000-0005-0000-0000-000095000000}"/>
    <cellStyle name="_Philadelphia (6-27-05) 24" xfId="3375" xr:uid="{00000000-0005-0000-0000-000096000000}"/>
    <cellStyle name="_Philadelphia (6-27-05) 25" xfId="3376" xr:uid="{00000000-0005-0000-0000-000097000000}"/>
    <cellStyle name="_Philadelphia (6-27-05) 26" xfId="3377" xr:uid="{00000000-0005-0000-0000-000098000000}"/>
    <cellStyle name="_Philadelphia (6-27-05) 27" xfId="3378" xr:uid="{00000000-0005-0000-0000-000099000000}"/>
    <cellStyle name="_Philadelphia (6-27-05) 28" xfId="3379" xr:uid="{00000000-0005-0000-0000-00009A000000}"/>
    <cellStyle name="_Philadelphia (6-27-05) 29" xfId="3380" xr:uid="{00000000-0005-0000-0000-00009B000000}"/>
    <cellStyle name="_Philadelphia (6-27-05) 3" xfId="3381" xr:uid="{00000000-0005-0000-0000-00009C000000}"/>
    <cellStyle name="_Philadelphia (6-27-05) 30" xfId="3382" xr:uid="{00000000-0005-0000-0000-00009D000000}"/>
    <cellStyle name="_Philadelphia (6-27-05) 4" xfId="3383" xr:uid="{00000000-0005-0000-0000-00009E000000}"/>
    <cellStyle name="_Philadelphia (6-27-05) 5" xfId="3384" xr:uid="{00000000-0005-0000-0000-00009F000000}"/>
    <cellStyle name="_Philadelphia (6-27-05) 6" xfId="3385" xr:uid="{00000000-0005-0000-0000-0000A0000000}"/>
    <cellStyle name="_Philadelphia (6-27-05) 7" xfId="3386" xr:uid="{00000000-0005-0000-0000-0000A1000000}"/>
    <cellStyle name="_Philadelphia (6-27-05) 8" xfId="3387" xr:uid="{00000000-0005-0000-0000-0000A2000000}"/>
    <cellStyle name="_Philadelphia (6-27-05) 9" xfId="3388" xr:uid="{00000000-0005-0000-0000-0000A3000000}"/>
    <cellStyle name="_Pricing Updates" xfId="3389" xr:uid="{00000000-0005-0000-0000-0000A4000000}"/>
    <cellStyle name="_Utility Solar" xfId="3390" xr:uid="{00000000-0005-0000-0000-0000A5000000}"/>
    <cellStyle name="_VariableRef" xfId="3391" xr:uid="{00000000-0005-0000-0000-0000A6000000}"/>
    <cellStyle name="£ BP" xfId="3392" xr:uid="{00000000-0005-0000-0000-0000A7000000}"/>
    <cellStyle name="¥ JY" xfId="3393" xr:uid="{00000000-0005-0000-0000-0000A8000000}"/>
    <cellStyle name="20% - Accent1 10" xfId="3394" xr:uid="{00000000-0005-0000-0000-0000A9000000}"/>
    <cellStyle name="20% - Accent1 11" xfId="3395" xr:uid="{00000000-0005-0000-0000-0000AA000000}"/>
    <cellStyle name="20% - Accent1 2" xfId="2991" xr:uid="{00000000-0005-0000-0000-0000AB000000}"/>
    <cellStyle name="20% - Accent1 2 2" xfId="3396" xr:uid="{00000000-0005-0000-0000-0000AC000000}"/>
    <cellStyle name="20% - Accent1 2 2 2" xfId="3397" xr:uid="{00000000-0005-0000-0000-0000AD000000}"/>
    <cellStyle name="20% - Accent1 2 3" xfId="3398" xr:uid="{00000000-0005-0000-0000-0000AE000000}"/>
    <cellStyle name="20% - Accent1 2 4" xfId="3399" xr:uid="{00000000-0005-0000-0000-0000AF000000}"/>
    <cellStyle name="20% - Accent1 2 5" xfId="3400" xr:uid="{00000000-0005-0000-0000-0000B0000000}"/>
    <cellStyle name="20% - Accent1 2 6" xfId="3401" xr:uid="{00000000-0005-0000-0000-0000B1000000}"/>
    <cellStyle name="20% - Accent1 2 7" xfId="3402" xr:uid="{00000000-0005-0000-0000-0000B2000000}"/>
    <cellStyle name="20% - Accent1 3" xfId="2992" xr:uid="{00000000-0005-0000-0000-0000B3000000}"/>
    <cellStyle name="20% - Accent1 3 2" xfId="3403" xr:uid="{00000000-0005-0000-0000-0000B4000000}"/>
    <cellStyle name="20% - Accent1 3 2 2" xfId="3404" xr:uid="{00000000-0005-0000-0000-0000B5000000}"/>
    <cellStyle name="20% - Accent1 3 3" xfId="3405" xr:uid="{00000000-0005-0000-0000-0000B6000000}"/>
    <cellStyle name="20% - Accent1 3 3 2" xfId="3406" xr:uid="{00000000-0005-0000-0000-0000B7000000}"/>
    <cellStyle name="20% - Accent1 3 4" xfId="3407" xr:uid="{00000000-0005-0000-0000-0000B8000000}"/>
    <cellStyle name="20% - Accent1 4" xfId="3182" xr:uid="{00000000-0005-0000-0000-0000B9000000}"/>
    <cellStyle name="20% - Accent1 4 2" xfId="3408" xr:uid="{00000000-0005-0000-0000-0000BA000000}"/>
    <cellStyle name="20% - Accent1 4 3" xfId="3409" xr:uid="{00000000-0005-0000-0000-0000BB000000}"/>
    <cellStyle name="20% - Accent1 4 4" xfId="3410" xr:uid="{00000000-0005-0000-0000-0000BC000000}"/>
    <cellStyle name="20% - Accent1 5" xfId="3411" xr:uid="{00000000-0005-0000-0000-0000BD000000}"/>
    <cellStyle name="20% - Accent1 5 2" xfId="3412" xr:uid="{00000000-0005-0000-0000-0000BE000000}"/>
    <cellStyle name="20% - Accent1 6" xfId="3413" xr:uid="{00000000-0005-0000-0000-0000BF000000}"/>
    <cellStyle name="20% - Accent1 6 2" xfId="3414" xr:uid="{00000000-0005-0000-0000-0000C0000000}"/>
    <cellStyle name="20% - Accent1 7" xfId="3415" xr:uid="{00000000-0005-0000-0000-0000C1000000}"/>
    <cellStyle name="20% - Accent1 7 10" xfId="3416" xr:uid="{00000000-0005-0000-0000-0000C2000000}"/>
    <cellStyle name="20% - Accent1 7 11" xfId="3417" xr:uid="{00000000-0005-0000-0000-0000C3000000}"/>
    <cellStyle name="20% - Accent1 7 12" xfId="3418" xr:uid="{00000000-0005-0000-0000-0000C4000000}"/>
    <cellStyle name="20% - Accent1 7 13" xfId="3419" xr:uid="{00000000-0005-0000-0000-0000C5000000}"/>
    <cellStyle name="20% - Accent1 7 14" xfId="3420" xr:uid="{00000000-0005-0000-0000-0000C6000000}"/>
    <cellStyle name="20% - Accent1 7 2" xfId="3421" xr:uid="{00000000-0005-0000-0000-0000C7000000}"/>
    <cellStyle name="20% - Accent1 7 2 10" xfId="3422" xr:uid="{00000000-0005-0000-0000-0000C8000000}"/>
    <cellStyle name="20% - Accent1 7 2 11" xfId="3423" xr:uid="{00000000-0005-0000-0000-0000C9000000}"/>
    <cellStyle name="20% - Accent1 7 2 12" xfId="3424" xr:uid="{00000000-0005-0000-0000-0000CA000000}"/>
    <cellStyle name="20% - Accent1 7 2 13" xfId="3425" xr:uid="{00000000-0005-0000-0000-0000CB000000}"/>
    <cellStyle name="20% - Accent1 7 2 2" xfId="3426" xr:uid="{00000000-0005-0000-0000-0000CC000000}"/>
    <cellStyle name="20% - Accent1 7 2 2 10" xfId="3427" xr:uid="{00000000-0005-0000-0000-0000CD000000}"/>
    <cellStyle name="20% - Accent1 7 2 2 11" xfId="3428" xr:uid="{00000000-0005-0000-0000-0000CE000000}"/>
    <cellStyle name="20% - Accent1 7 2 2 12" xfId="3429" xr:uid="{00000000-0005-0000-0000-0000CF000000}"/>
    <cellStyle name="20% - Accent1 7 2 2 2" xfId="3430" xr:uid="{00000000-0005-0000-0000-0000D0000000}"/>
    <cellStyle name="20% - Accent1 7 2 2 2 10" xfId="3431" xr:uid="{00000000-0005-0000-0000-0000D1000000}"/>
    <cellStyle name="20% - Accent1 7 2 2 2 11" xfId="3432" xr:uid="{00000000-0005-0000-0000-0000D2000000}"/>
    <cellStyle name="20% - Accent1 7 2 2 2 2" xfId="3433" xr:uid="{00000000-0005-0000-0000-0000D3000000}"/>
    <cellStyle name="20% - Accent1 7 2 2 2 2 2" xfId="3434" xr:uid="{00000000-0005-0000-0000-0000D4000000}"/>
    <cellStyle name="20% - Accent1 7 2 2 2 2 2 2" xfId="3435" xr:uid="{00000000-0005-0000-0000-0000D5000000}"/>
    <cellStyle name="20% - Accent1 7 2 2 2 2 2 3" xfId="3436" xr:uid="{00000000-0005-0000-0000-0000D6000000}"/>
    <cellStyle name="20% - Accent1 7 2 2 2 2 3" xfId="3437" xr:uid="{00000000-0005-0000-0000-0000D7000000}"/>
    <cellStyle name="20% - Accent1 7 2 2 2 2 3 2" xfId="3438" xr:uid="{00000000-0005-0000-0000-0000D8000000}"/>
    <cellStyle name="20% - Accent1 7 2 2 2 2 4" xfId="3439" xr:uid="{00000000-0005-0000-0000-0000D9000000}"/>
    <cellStyle name="20% - Accent1 7 2 2 2 2 5" xfId="3440" xr:uid="{00000000-0005-0000-0000-0000DA000000}"/>
    <cellStyle name="20% - Accent1 7 2 2 2 2 6" xfId="3441" xr:uid="{00000000-0005-0000-0000-0000DB000000}"/>
    <cellStyle name="20% - Accent1 7 2 2 2 2 7" xfId="3442" xr:uid="{00000000-0005-0000-0000-0000DC000000}"/>
    <cellStyle name="20% - Accent1 7 2 2 2 2 8" xfId="3443" xr:uid="{00000000-0005-0000-0000-0000DD000000}"/>
    <cellStyle name="20% - Accent1 7 2 2 2 3" xfId="3444" xr:uid="{00000000-0005-0000-0000-0000DE000000}"/>
    <cellStyle name="20% - Accent1 7 2 2 2 3 2" xfId="3445" xr:uid="{00000000-0005-0000-0000-0000DF000000}"/>
    <cellStyle name="20% - Accent1 7 2 2 2 3 2 2" xfId="3446" xr:uid="{00000000-0005-0000-0000-0000E0000000}"/>
    <cellStyle name="20% - Accent1 7 2 2 2 3 3" xfId="3447" xr:uid="{00000000-0005-0000-0000-0000E1000000}"/>
    <cellStyle name="20% - Accent1 7 2 2 2 3 4" xfId="3448" xr:uid="{00000000-0005-0000-0000-0000E2000000}"/>
    <cellStyle name="20% - Accent1 7 2 2 2 4" xfId="3449" xr:uid="{00000000-0005-0000-0000-0000E3000000}"/>
    <cellStyle name="20% - Accent1 7 2 2 2 4 2" xfId="3450" xr:uid="{00000000-0005-0000-0000-0000E4000000}"/>
    <cellStyle name="20% - Accent1 7 2 2 2 5" xfId="3451" xr:uid="{00000000-0005-0000-0000-0000E5000000}"/>
    <cellStyle name="20% - Accent1 7 2 2 2 5 2" xfId="3452" xr:uid="{00000000-0005-0000-0000-0000E6000000}"/>
    <cellStyle name="20% - Accent1 7 2 2 2 6" xfId="3453" xr:uid="{00000000-0005-0000-0000-0000E7000000}"/>
    <cellStyle name="20% - Accent1 7 2 2 2 6 2" xfId="3454" xr:uid="{00000000-0005-0000-0000-0000E8000000}"/>
    <cellStyle name="20% - Accent1 7 2 2 2 7" xfId="3455" xr:uid="{00000000-0005-0000-0000-0000E9000000}"/>
    <cellStyle name="20% - Accent1 7 2 2 2 8" xfId="3456" xr:uid="{00000000-0005-0000-0000-0000EA000000}"/>
    <cellStyle name="20% - Accent1 7 2 2 2 9" xfId="3457" xr:uid="{00000000-0005-0000-0000-0000EB000000}"/>
    <cellStyle name="20% - Accent1 7 2 2 3" xfId="3458" xr:uid="{00000000-0005-0000-0000-0000EC000000}"/>
    <cellStyle name="20% - Accent1 7 2 2 3 2" xfId="3459" xr:uid="{00000000-0005-0000-0000-0000ED000000}"/>
    <cellStyle name="20% - Accent1 7 2 2 3 2 2" xfId="3460" xr:uid="{00000000-0005-0000-0000-0000EE000000}"/>
    <cellStyle name="20% - Accent1 7 2 2 3 2 3" xfId="3461" xr:uid="{00000000-0005-0000-0000-0000EF000000}"/>
    <cellStyle name="20% - Accent1 7 2 2 3 3" xfId="3462" xr:uid="{00000000-0005-0000-0000-0000F0000000}"/>
    <cellStyle name="20% - Accent1 7 2 2 3 3 2" xfId="3463" xr:uid="{00000000-0005-0000-0000-0000F1000000}"/>
    <cellStyle name="20% - Accent1 7 2 2 3 4" xfId="3464" xr:uid="{00000000-0005-0000-0000-0000F2000000}"/>
    <cellStyle name="20% - Accent1 7 2 2 3 5" xfId="3465" xr:uid="{00000000-0005-0000-0000-0000F3000000}"/>
    <cellStyle name="20% - Accent1 7 2 2 3 6" xfId="3466" xr:uid="{00000000-0005-0000-0000-0000F4000000}"/>
    <cellStyle name="20% - Accent1 7 2 2 3 7" xfId="3467" xr:uid="{00000000-0005-0000-0000-0000F5000000}"/>
    <cellStyle name="20% - Accent1 7 2 2 3 8" xfId="3468" xr:uid="{00000000-0005-0000-0000-0000F6000000}"/>
    <cellStyle name="20% - Accent1 7 2 2 4" xfId="3469" xr:uid="{00000000-0005-0000-0000-0000F7000000}"/>
    <cellStyle name="20% - Accent1 7 2 2 4 2" xfId="3470" xr:uid="{00000000-0005-0000-0000-0000F8000000}"/>
    <cellStyle name="20% - Accent1 7 2 2 4 2 2" xfId="3471" xr:uid="{00000000-0005-0000-0000-0000F9000000}"/>
    <cellStyle name="20% - Accent1 7 2 2 4 3" xfId="3472" xr:uid="{00000000-0005-0000-0000-0000FA000000}"/>
    <cellStyle name="20% - Accent1 7 2 2 4 4" xfId="3473" xr:uid="{00000000-0005-0000-0000-0000FB000000}"/>
    <cellStyle name="20% - Accent1 7 2 2 5" xfId="3474" xr:uid="{00000000-0005-0000-0000-0000FC000000}"/>
    <cellStyle name="20% - Accent1 7 2 2 5 2" xfId="3475" xr:uid="{00000000-0005-0000-0000-0000FD000000}"/>
    <cellStyle name="20% - Accent1 7 2 2 6" xfId="3476" xr:uid="{00000000-0005-0000-0000-0000FE000000}"/>
    <cellStyle name="20% - Accent1 7 2 2 6 2" xfId="3477" xr:uid="{00000000-0005-0000-0000-0000FF000000}"/>
    <cellStyle name="20% - Accent1 7 2 2 7" xfId="3478" xr:uid="{00000000-0005-0000-0000-000000010000}"/>
    <cellStyle name="20% - Accent1 7 2 2 7 2" xfId="3479" xr:uid="{00000000-0005-0000-0000-000001010000}"/>
    <cellStyle name="20% - Accent1 7 2 2 8" xfId="3480" xr:uid="{00000000-0005-0000-0000-000002010000}"/>
    <cellStyle name="20% - Accent1 7 2 2 9" xfId="3481" xr:uid="{00000000-0005-0000-0000-000003010000}"/>
    <cellStyle name="20% - Accent1 7 2 3" xfId="3482" xr:uid="{00000000-0005-0000-0000-000004010000}"/>
    <cellStyle name="20% - Accent1 7 2 3 10" xfId="3483" xr:uid="{00000000-0005-0000-0000-000005010000}"/>
    <cellStyle name="20% - Accent1 7 2 3 11" xfId="3484" xr:uid="{00000000-0005-0000-0000-000006010000}"/>
    <cellStyle name="20% - Accent1 7 2 3 2" xfId="3485" xr:uid="{00000000-0005-0000-0000-000007010000}"/>
    <cellStyle name="20% - Accent1 7 2 3 2 2" xfId="3486" xr:uid="{00000000-0005-0000-0000-000008010000}"/>
    <cellStyle name="20% - Accent1 7 2 3 2 2 2" xfId="3487" xr:uid="{00000000-0005-0000-0000-000009010000}"/>
    <cellStyle name="20% - Accent1 7 2 3 2 2 3" xfId="3488" xr:uid="{00000000-0005-0000-0000-00000A010000}"/>
    <cellStyle name="20% - Accent1 7 2 3 2 3" xfId="3489" xr:uid="{00000000-0005-0000-0000-00000B010000}"/>
    <cellStyle name="20% - Accent1 7 2 3 2 3 2" xfId="3490" xr:uid="{00000000-0005-0000-0000-00000C010000}"/>
    <cellStyle name="20% - Accent1 7 2 3 2 4" xfId="3491" xr:uid="{00000000-0005-0000-0000-00000D010000}"/>
    <cellStyle name="20% - Accent1 7 2 3 2 5" xfId="3492" xr:uid="{00000000-0005-0000-0000-00000E010000}"/>
    <cellStyle name="20% - Accent1 7 2 3 2 6" xfId="3493" xr:uid="{00000000-0005-0000-0000-00000F010000}"/>
    <cellStyle name="20% - Accent1 7 2 3 2 7" xfId="3494" xr:uid="{00000000-0005-0000-0000-000010010000}"/>
    <cellStyle name="20% - Accent1 7 2 3 2 8" xfId="3495" xr:uid="{00000000-0005-0000-0000-000011010000}"/>
    <cellStyle name="20% - Accent1 7 2 3 3" xfId="3496" xr:uid="{00000000-0005-0000-0000-000012010000}"/>
    <cellStyle name="20% - Accent1 7 2 3 3 2" xfId="3497" xr:uid="{00000000-0005-0000-0000-000013010000}"/>
    <cellStyle name="20% - Accent1 7 2 3 3 2 2" xfId="3498" xr:uid="{00000000-0005-0000-0000-000014010000}"/>
    <cellStyle name="20% - Accent1 7 2 3 3 3" xfId="3499" xr:uid="{00000000-0005-0000-0000-000015010000}"/>
    <cellStyle name="20% - Accent1 7 2 3 3 4" xfId="3500" xr:uid="{00000000-0005-0000-0000-000016010000}"/>
    <cellStyle name="20% - Accent1 7 2 3 4" xfId="3501" xr:uid="{00000000-0005-0000-0000-000017010000}"/>
    <cellStyle name="20% - Accent1 7 2 3 4 2" xfId="3502" xr:uid="{00000000-0005-0000-0000-000018010000}"/>
    <cellStyle name="20% - Accent1 7 2 3 5" xfId="3503" xr:uid="{00000000-0005-0000-0000-000019010000}"/>
    <cellStyle name="20% - Accent1 7 2 3 5 2" xfId="3504" xr:uid="{00000000-0005-0000-0000-00001A010000}"/>
    <cellStyle name="20% - Accent1 7 2 3 6" xfId="3505" xr:uid="{00000000-0005-0000-0000-00001B010000}"/>
    <cellStyle name="20% - Accent1 7 2 3 6 2" xfId="3506" xr:uid="{00000000-0005-0000-0000-00001C010000}"/>
    <cellStyle name="20% - Accent1 7 2 3 7" xfId="3507" xr:uid="{00000000-0005-0000-0000-00001D010000}"/>
    <cellStyle name="20% - Accent1 7 2 3 8" xfId="3508" xr:uid="{00000000-0005-0000-0000-00001E010000}"/>
    <cellStyle name="20% - Accent1 7 2 3 9" xfId="3509" xr:uid="{00000000-0005-0000-0000-00001F010000}"/>
    <cellStyle name="20% - Accent1 7 2 4" xfId="3510" xr:uid="{00000000-0005-0000-0000-000020010000}"/>
    <cellStyle name="20% - Accent1 7 2 4 2" xfId="3511" xr:uid="{00000000-0005-0000-0000-000021010000}"/>
    <cellStyle name="20% - Accent1 7 2 4 2 2" xfId="3512" xr:uid="{00000000-0005-0000-0000-000022010000}"/>
    <cellStyle name="20% - Accent1 7 2 4 2 3" xfId="3513" xr:uid="{00000000-0005-0000-0000-000023010000}"/>
    <cellStyle name="20% - Accent1 7 2 4 3" xfId="3514" xr:uid="{00000000-0005-0000-0000-000024010000}"/>
    <cellStyle name="20% - Accent1 7 2 4 3 2" xfId="3515" xr:uid="{00000000-0005-0000-0000-000025010000}"/>
    <cellStyle name="20% - Accent1 7 2 4 4" xfId="3516" xr:uid="{00000000-0005-0000-0000-000026010000}"/>
    <cellStyle name="20% - Accent1 7 2 4 5" xfId="3517" xr:uid="{00000000-0005-0000-0000-000027010000}"/>
    <cellStyle name="20% - Accent1 7 2 4 6" xfId="3518" xr:uid="{00000000-0005-0000-0000-000028010000}"/>
    <cellStyle name="20% - Accent1 7 2 4 7" xfId="3519" xr:uid="{00000000-0005-0000-0000-000029010000}"/>
    <cellStyle name="20% - Accent1 7 2 4 8" xfId="3520" xr:uid="{00000000-0005-0000-0000-00002A010000}"/>
    <cellStyle name="20% - Accent1 7 2 5" xfId="3521" xr:uid="{00000000-0005-0000-0000-00002B010000}"/>
    <cellStyle name="20% - Accent1 7 2 5 2" xfId="3522" xr:uid="{00000000-0005-0000-0000-00002C010000}"/>
    <cellStyle name="20% - Accent1 7 2 5 2 2" xfId="3523" xr:uid="{00000000-0005-0000-0000-00002D010000}"/>
    <cellStyle name="20% - Accent1 7 2 5 3" xfId="3524" xr:uid="{00000000-0005-0000-0000-00002E010000}"/>
    <cellStyle name="20% - Accent1 7 2 5 4" xfId="3525" xr:uid="{00000000-0005-0000-0000-00002F010000}"/>
    <cellStyle name="20% - Accent1 7 2 6" xfId="3526" xr:uid="{00000000-0005-0000-0000-000030010000}"/>
    <cellStyle name="20% - Accent1 7 2 6 2" xfId="3527" xr:uid="{00000000-0005-0000-0000-000031010000}"/>
    <cellStyle name="20% - Accent1 7 2 7" xfId="3528" xr:uid="{00000000-0005-0000-0000-000032010000}"/>
    <cellStyle name="20% - Accent1 7 2 7 2" xfId="3529" xr:uid="{00000000-0005-0000-0000-000033010000}"/>
    <cellStyle name="20% - Accent1 7 2 8" xfId="3530" xr:uid="{00000000-0005-0000-0000-000034010000}"/>
    <cellStyle name="20% - Accent1 7 2 8 2" xfId="3531" xr:uid="{00000000-0005-0000-0000-000035010000}"/>
    <cellStyle name="20% - Accent1 7 2 9" xfId="3532" xr:uid="{00000000-0005-0000-0000-000036010000}"/>
    <cellStyle name="20% - Accent1 7 3" xfId="3533" xr:uid="{00000000-0005-0000-0000-000037010000}"/>
    <cellStyle name="20% - Accent1 7 3 10" xfId="3534" xr:uid="{00000000-0005-0000-0000-000038010000}"/>
    <cellStyle name="20% - Accent1 7 3 11" xfId="3535" xr:uid="{00000000-0005-0000-0000-000039010000}"/>
    <cellStyle name="20% - Accent1 7 3 12" xfId="3536" xr:uid="{00000000-0005-0000-0000-00003A010000}"/>
    <cellStyle name="20% - Accent1 7 3 2" xfId="3537" xr:uid="{00000000-0005-0000-0000-00003B010000}"/>
    <cellStyle name="20% - Accent1 7 3 2 10" xfId="3538" xr:uid="{00000000-0005-0000-0000-00003C010000}"/>
    <cellStyle name="20% - Accent1 7 3 2 11" xfId="3539" xr:uid="{00000000-0005-0000-0000-00003D010000}"/>
    <cellStyle name="20% - Accent1 7 3 2 2" xfId="3540" xr:uid="{00000000-0005-0000-0000-00003E010000}"/>
    <cellStyle name="20% - Accent1 7 3 2 2 2" xfId="3541" xr:uid="{00000000-0005-0000-0000-00003F010000}"/>
    <cellStyle name="20% - Accent1 7 3 2 2 2 2" xfId="3542" xr:uid="{00000000-0005-0000-0000-000040010000}"/>
    <cellStyle name="20% - Accent1 7 3 2 2 2 3" xfId="3543" xr:uid="{00000000-0005-0000-0000-000041010000}"/>
    <cellStyle name="20% - Accent1 7 3 2 2 3" xfId="3544" xr:uid="{00000000-0005-0000-0000-000042010000}"/>
    <cellStyle name="20% - Accent1 7 3 2 2 3 2" xfId="3545" xr:uid="{00000000-0005-0000-0000-000043010000}"/>
    <cellStyle name="20% - Accent1 7 3 2 2 4" xfId="3546" xr:uid="{00000000-0005-0000-0000-000044010000}"/>
    <cellStyle name="20% - Accent1 7 3 2 2 5" xfId="3547" xr:uid="{00000000-0005-0000-0000-000045010000}"/>
    <cellStyle name="20% - Accent1 7 3 2 2 6" xfId="3548" xr:uid="{00000000-0005-0000-0000-000046010000}"/>
    <cellStyle name="20% - Accent1 7 3 2 2 7" xfId="3549" xr:uid="{00000000-0005-0000-0000-000047010000}"/>
    <cellStyle name="20% - Accent1 7 3 2 2 8" xfId="3550" xr:uid="{00000000-0005-0000-0000-000048010000}"/>
    <cellStyle name="20% - Accent1 7 3 2 3" xfId="3551" xr:uid="{00000000-0005-0000-0000-000049010000}"/>
    <cellStyle name="20% - Accent1 7 3 2 3 2" xfId="3552" xr:uid="{00000000-0005-0000-0000-00004A010000}"/>
    <cellStyle name="20% - Accent1 7 3 2 3 2 2" xfId="3553" xr:uid="{00000000-0005-0000-0000-00004B010000}"/>
    <cellStyle name="20% - Accent1 7 3 2 3 3" xfId="3554" xr:uid="{00000000-0005-0000-0000-00004C010000}"/>
    <cellStyle name="20% - Accent1 7 3 2 3 4" xfId="3555" xr:uid="{00000000-0005-0000-0000-00004D010000}"/>
    <cellStyle name="20% - Accent1 7 3 2 4" xfId="3556" xr:uid="{00000000-0005-0000-0000-00004E010000}"/>
    <cellStyle name="20% - Accent1 7 3 2 4 2" xfId="3557" xr:uid="{00000000-0005-0000-0000-00004F010000}"/>
    <cellStyle name="20% - Accent1 7 3 2 5" xfId="3558" xr:uid="{00000000-0005-0000-0000-000050010000}"/>
    <cellStyle name="20% - Accent1 7 3 2 5 2" xfId="3559" xr:uid="{00000000-0005-0000-0000-000051010000}"/>
    <cellStyle name="20% - Accent1 7 3 2 6" xfId="3560" xr:uid="{00000000-0005-0000-0000-000052010000}"/>
    <cellStyle name="20% - Accent1 7 3 2 6 2" xfId="3561" xr:uid="{00000000-0005-0000-0000-000053010000}"/>
    <cellStyle name="20% - Accent1 7 3 2 7" xfId="3562" xr:uid="{00000000-0005-0000-0000-000054010000}"/>
    <cellStyle name="20% - Accent1 7 3 2 8" xfId="3563" xr:uid="{00000000-0005-0000-0000-000055010000}"/>
    <cellStyle name="20% - Accent1 7 3 2 9" xfId="3564" xr:uid="{00000000-0005-0000-0000-000056010000}"/>
    <cellStyle name="20% - Accent1 7 3 3" xfId="3565" xr:uid="{00000000-0005-0000-0000-000057010000}"/>
    <cellStyle name="20% - Accent1 7 3 3 2" xfId="3566" xr:uid="{00000000-0005-0000-0000-000058010000}"/>
    <cellStyle name="20% - Accent1 7 3 3 2 2" xfId="3567" xr:uid="{00000000-0005-0000-0000-000059010000}"/>
    <cellStyle name="20% - Accent1 7 3 3 2 3" xfId="3568" xr:uid="{00000000-0005-0000-0000-00005A010000}"/>
    <cellStyle name="20% - Accent1 7 3 3 3" xfId="3569" xr:uid="{00000000-0005-0000-0000-00005B010000}"/>
    <cellStyle name="20% - Accent1 7 3 3 3 2" xfId="3570" xr:uid="{00000000-0005-0000-0000-00005C010000}"/>
    <cellStyle name="20% - Accent1 7 3 3 4" xfId="3571" xr:uid="{00000000-0005-0000-0000-00005D010000}"/>
    <cellStyle name="20% - Accent1 7 3 3 5" xfId="3572" xr:uid="{00000000-0005-0000-0000-00005E010000}"/>
    <cellStyle name="20% - Accent1 7 3 3 6" xfId="3573" xr:uid="{00000000-0005-0000-0000-00005F010000}"/>
    <cellStyle name="20% - Accent1 7 3 3 7" xfId="3574" xr:uid="{00000000-0005-0000-0000-000060010000}"/>
    <cellStyle name="20% - Accent1 7 3 3 8" xfId="3575" xr:uid="{00000000-0005-0000-0000-000061010000}"/>
    <cellStyle name="20% - Accent1 7 3 4" xfId="3576" xr:uid="{00000000-0005-0000-0000-000062010000}"/>
    <cellStyle name="20% - Accent1 7 3 4 2" xfId="3577" xr:uid="{00000000-0005-0000-0000-000063010000}"/>
    <cellStyle name="20% - Accent1 7 3 4 2 2" xfId="3578" xr:uid="{00000000-0005-0000-0000-000064010000}"/>
    <cellStyle name="20% - Accent1 7 3 4 3" xfId="3579" xr:uid="{00000000-0005-0000-0000-000065010000}"/>
    <cellStyle name="20% - Accent1 7 3 4 4" xfId="3580" xr:uid="{00000000-0005-0000-0000-000066010000}"/>
    <cellStyle name="20% - Accent1 7 3 5" xfId="3581" xr:uid="{00000000-0005-0000-0000-000067010000}"/>
    <cellStyle name="20% - Accent1 7 3 5 2" xfId="3582" xr:uid="{00000000-0005-0000-0000-000068010000}"/>
    <cellStyle name="20% - Accent1 7 3 6" xfId="3583" xr:uid="{00000000-0005-0000-0000-000069010000}"/>
    <cellStyle name="20% - Accent1 7 3 6 2" xfId="3584" xr:uid="{00000000-0005-0000-0000-00006A010000}"/>
    <cellStyle name="20% - Accent1 7 3 7" xfId="3585" xr:uid="{00000000-0005-0000-0000-00006B010000}"/>
    <cellStyle name="20% - Accent1 7 3 7 2" xfId="3586" xr:uid="{00000000-0005-0000-0000-00006C010000}"/>
    <cellStyle name="20% - Accent1 7 3 8" xfId="3587" xr:uid="{00000000-0005-0000-0000-00006D010000}"/>
    <cellStyle name="20% - Accent1 7 3 9" xfId="3588" xr:uid="{00000000-0005-0000-0000-00006E010000}"/>
    <cellStyle name="20% - Accent1 7 4" xfId="3589" xr:uid="{00000000-0005-0000-0000-00006F010000}"/>
    <cellStyle name="20% - Accent1 7 4 10" xfId="3590" xr:uid="{00000000-0005-0000-0000-000070010000}"/>
    <cellStyle name="20% - Accent1 7 4 11" xfId="3591" xr:uid="{00000000-0005-0000-0000-000071010000}"/>
    <cellStyle name="20% - Accent1 7 4 2" xfId="3592" xr:uid="{00000000-0005-0000-0000-000072010000}"/>
    <cellStyle name="20% - Accent1 7 4 2 2" xfId="3593" xr:uid="{00000000-0005-0000-0000-000073010000}"/>
    <cellStyle name="20% - Accent1 7 4 2 2 2" xfId="3594" xr:uid="{00000000-0005-0000-0000-000074010000}"/>
    <cellStyle name="20% - Accent1 7 4 2 2 3" xfId="3595" xr:uid="{00000000-0005-0000-0000-000075010000}"/>
    <cellStyle name="20% - Accent1 7 4 2 3" xfId="3596" xr:uid="{00000000-0005-0000-0000-000076010000}"/>
    <cellStyle name="20% - Accent1 7 4 2 3 2" xfId="3597" xr:uid="{00000000-0005-0000-0000-000077010000}"/>
    <cellStyle name="20% - Accent1 7 4 2 4" xfId="3598" xr:uid="{00000000-0005-0000-0000-000078010000}"/>
    <cellStyle name="20% - Accent1 7 4 2 5" xfId="3599" xr:uid="{00000000-0005-0000-0000-000079010000}"/>
    <cellStyle name="20% - Accent1 7 4 2 6" xfId="3600" xr:uid="{00000000-0005-0000-0000-00007A010000}"/>
    <cellStyle name="20% - Accent1 7 4 2 7" xfId="3601" xr:uid="{00000000-0005-0000-0000-00007B010000}"/>
    <cellStyle name="20% - Accent1 7 4 2 8" xfId="3602" xr:uid="{00000000-0005-0000-0000-00007C010000}"/>
    <cellStyle name="20% - Accent1 7 4 3" xfId="3603" xr:uid="{00000000-0005-0000-0000-00007D010000}"/>
    <cellStyle name="20% - Accent1 7 4 3 2" xfId="3604" xr:uid="{00000000-0005-0000-0000-00007E010000}"/>
    <cellStyle name="20% - Accent1 7 4 3 2 2" xfId="3605" xr:uid="{00000000-0005-0000-0000-00007F010000}"/>
    <cellStyle name="20% - Accent1 7 4 3 3" xfId="3606" xr:uid="{00000000-0005-0000-0000-000080010000}"/>
    <cellStyle name="20% - Accent1 7 4 3 4" xfId="3607" xr:uid="{00000000-0005-0000-0000-000081010000}"/>
    <cellStyle name="20% - Accent1 7 4 4" xfId="3608" xr:uid="{00000000-0005-0000-0000-000082010000}"/>
    <cellStyle name="20% - Accent1 7 4 4 2" xfId="3609" xr:uid="{00000000-0005-0000-0000-000083010000}"/>
    <cellStyle name="20% - Accent1 7 4 5" xfId="3610" xr:uid="{00000000-0005-0000-0000-000084010000}"/>
    <cellStyle name="20% - Accent1 7 4 5 2" xfId="3611" xr:uid="{00000000-0005-0000-0000-000085010000}"/>
    <cellStyle name="20% - Accent1 7 4 6" xfId="3612" xr:uid="{00000000-0005-0000-0000-000086010000}"/>
    <cellStyle name="20% - Accent1 7 4 6 2" xfId="3613" xr:uid="{00000000-0005-0000-0000-000087010000}"/>
    <cellStyle name="20% - Accent1 7 4 7" xfId="3614" xr:uid="{00000000-0005-0000-0000-000088010000}"/>
    <cellStyle name="20% - Accent1 7 4 8" xfId="3615" xr:uid="{00000000-0005-0000-0000-000089010000}"/>
    <cellStyle name="20% - Accent1 7 4 9" xfId="3616" xr:uid="{00000000-0005-0000-0000-00008A010000}"/>
    <cellStyle name="20% - Accent1 7 5" xfId="3617" xr:uid="{00000000-0005-0000-0000-00008B010000}"/>
    <cellStyle name="20% - Accent1 7 5 2" xfId="3618" xr:uid="{00000000-0005-0000-0000-00008C010000}"/>
    <cellStyle name="20% - Accent1 7 5 2 2" xfId="3619" xr:uid="{00000000-0005-0000-0000-00008D010000}"/>
    <cellStyle name="20% - Accent1 7 5 2 3" xfId="3620" xr:uid="{00000000-0005-0000-0000-00008E010000}"/>
    <cellStyle name="20% - Accent1 7 5 3" xfId="3621" xr:uid="{00000000-0005-0000-0000-00008F010000}"/>
    <cellStyle name="20% - Accent1 7 5 3 2" xfId="3622" xr:uid="{00000000-0005-0000-0000-000090010000}"/>
    <cellStyle name="20% - Accent1 7 5 4" xfId="3623" xr:uid="{00000000-0005-0000-0000-000091010000}"/>
    <cellStyle name="20% - Accent1 7 5 5" xfId="3624" xr:uid="{00000000-0005-0000-0000-000092010000}"/>
    <cellStyle name="20% - Accent1 7 5 6" xfId="3625" xr:uid="{00000000-0005-0000-0000-000093010000}"/>
    <cellStyle name="20% - Accent1 7 5 7" xfId="3626" xr:uid="{00000000-0005-0000-0000-000094010000}"/>
    <cellStyle name="20% - Accent1 7 5 8" xfId="3627" xr:uid="{00000000-0005-0000-0000-000095010000}"/>
    <cellStyle name="20% - Accent1 7 6" xfId="3628" xr:uid="{00000000-0005-0000-0000-000096010000}"/>
    <cellStyle name="20% - Accent1 7 6 2" xfId="3629" xr:uid="{00000000-0005-0000-0000-000097010000}"/>
    <cellStyle name="20% - Accent1 7 6 2 2" xfId="3630" xr:uid="{00000000-0005-0000-0000-000098010000}"/>
    <cellStyle name="20% - Accent1 7 6 3" xfId="3631" xr:uid="{00000000-0005-0000-0000-000099010000}"/>
    <cellStyle name="20% - Accent1 7 6 4" xfId="3632" xr:uid="{00000000-0005-0000-0000-00009A010000}"/>
    <cellStyle name="20% - Accent1 7 7" xfId="3633" xr:uid="{00000000-0005-0000-0000-00009B010000}"/>
    <cellStyle name="20% - Accent1 7 7 2" xfId="3634" xr:uid="{00000000-0005-0000-0000-00009C010000}"/>
    <cellStyle name="20% - Accent1 7 8" xfId="3635" xr:uid="{00000000-0005-0000-0000-00009D010000}"/>
    <cellStyle name="20% - Accent1 7 8 2" xfId="3636" xr:uid="{00000000-0005-0000-0000-00009E010000}"/>
    <cellStyle name="20% - Accent1 7 9" xfId="3637" xr:uid="{00000000-0005-0000-0000-00009F010000}"/>
    <cellStyle name="20% - Accent1 7 9 2" xfId="3638" xr:uid="{00000000-0005-0000-0000-0000A0010000}"/>
    <cellStyle name="20% - Accent1 8" xfId="3639" xr:uid="{00000000-0005-0000-0000-0000A1010000}"/>
    <cellStyle name="20% - Accent1 9" xfId="3640" xr:uid="{00000000-0005-0000-0000-0000A2010000}"/>
    <cellStyle name="20% - Accent1 9 2" xfId="3641" xr:uid="{00000000-0005-0000-0000-0000A3010000}"/>
    <cellStyle name="20% - Accent1 9 3" xfId="3642" xr:uid="{00000000-0005-0000-0000-0000A4010000}"/>
    <cellStyle name="20% - Accent2 10" xfId="3643" xr:uid="{00000000-0005-0000-0000-0000A5010000}"/>
    <cellStyle name="20% - Accent2 11" xfId="3644" xr:uid="{00000000-0005-0000-0000-0000A6010000}"/>
    <cellStyle name="20% - Accent2 2" xfId="2993" xr:uid="{00000000-0005-0000-0000-0000A7010000}"/>
    <cellStyle name="20% - Accent2 2 2" xfId="3645" xr:uid="{00000000-0005-0000-0000-0000A8010000}"/>
    <cellStyle name="20% - Accent2 2 2 2" xfId="3646" xr:uid="{00000000-0005-0000-0000-0000A9010000}"/>
    <cellStyle name="20% - Accent2 2 3" xfId="3647" xr:uid="{00000000-0005-0000-0000-0000AA010000}"/>
    <cellStyle name="20% - Accent2 2 4" xfId="3648" xr:uid="{00000000-0005-0000-0000-0000AB010000}"/>
    <cellStyle name="20% - Accent2 2 5" xfId="3649" xr:uid="{00000000-0005-0000-0000-0000AC010000}"/>
    <cellStyle name="20% - Accent2 2 6" xfId="3650" xr:uid="{00000000-0005-0000-0000-0000AD010000}"/>
    <cellStyle name="20% - Accent2 2 7" xfId="3651" xr:uid="{00000000-0005-0000-0000-0000AE010000}"/>
    <cellStyle name="20% - Accent2 3" xfId="2994" xr:uid="{00000000-0005-0000-0000-0000AF010000}"/>
    <cellStyle name="20% - Accent2 3 2" xfId="3652" xr:uid="{00000000-0005-0000-0000-0000B0010000}"/>
    <cellStyle name="20% - Accent2 3 2 2" xfId="3653" xr:uid="{00000000-0005-0000-0000-0000B1010000}"/>
    <cellStyle name="20% - Accent2 3 3" xfId="3654" xr:uid="{00000000-0005-0000-0000-0000B2010000}"/>
    <cellStyle name="20% - Accent2 3 3 2" xfId="3655" xr:uid="{00000000-0005-0000-0000-0000B3010000}"/>
    <cellStyle name="20% - Accent2 3 4" xfId="3656" xr:uid="{00000000-0005-0000-0000-0000B4010000}"/>
    <cellStyle name="20% - Accent2 4" xfId="3183" xr:uid="{00000000-0005-0000-0000-0000B5010000}"/>
    <cellStyle name="20% - Accent2 4 2" xfId="3657" xr:uid="{00000000-0005-0000-0000-0000B6010000}"/>
    <cellStyle name="20% - Accent2 4 3" xfId="3658" xr:uid="{00000000-0005-0000-0000-0000B7010000}"/>
    <cellStyle name="20% - Accent2 4 4" xfId="3659" xr:uid="{00000000-0005-0000-0000-0000B8010000}"/>
    <cellStyle name="20% - Accent2 5" xfId="3660" xr:uid="{00000000-0005-0000-0000-0000B9010000}"/>
    <cellStyle name="20% - Accent2 5 2" xfId="3661" xr:uid="{00000000-0005-0000-0000-0000BA010000}"/>
    <cellStyle name="20% - Accent2 6" xfId="3662" xr:uid="{00000000-0005-0000-0000-0000BB010000}"/>
    <cellStyle name="20% - Accent2 6 2" xfId="3663" xr:uid="{00000000-0005-0000-0000-0000BC010000}"/>
    <cellStyle name="20% - Accent2 7" xfId="3664" xr:uid="{00000000-0005-0000-0000-0000BD010000}"/>
    <cellStyle name="20% - Accent2 7 10" xfId="3665" xr:uid="{00000000-0005-0000-0000-0000BE010000}"/>
    <cellStyle name="20% - Accent2 7 11" xfId="3666" xr:uid="{00000000-0005-0000-0000-0000BF010000}"/>
    <cellStyle name="20% - Accent2 7 12" xfId="3667" xr:uid="{00000000-0005-0000-0000-0000C0010000}"/>
    <cellStyle name="20% - Accent2 7 13" xfId="3668" xr:uid="{00000000-0005-0000-0000-0000C1010000}"/>
    <cellStyle name="20% - Accent2 7 14" xfId="3669" xr:uid="{00000000-0005-0000-0000-0000C2010000}"/>
    <cellStyle name="20% - Accent2 7 2" xfId="3670" xr:uid="{00000000-0005-0000-0000-0000C3010000}"/>
    <cellStyle name="20% - Accent2 7 2 10" xfId="3671" xr:uid="{00000000-0005-0000-0000-0000C4010000}"/>
    <cellStyle name="20% - Accent2 7 2 11" xfId="3672" xr:uid="{00000000-0005-0000-0000-0000C5010000}"/>
    <cellStyle name="20% - Accent2 7 2 12" xfId="3673" xr:uid="{00000000-0005-0000-0000-0000C6010000}"/>
    <cellStyle name="20% - Accent2 7 2 13" xfId="3674" xr:uid="{00000000-0005-0000-0000-0000C7010000}"/>
    <cellStyle name="20% - Accent2 7 2 2" xfId="3675" xr:uid="{00000000-0005-0000-0000-0000C8010000}"/>
    <cellStyle name="20% - Accent2 7 2 2 10" xfId="3676" xr:uid="{00000000-0005-0000-0000-0000C9010000}"/>
    <cellStyle name="20% - Accent2 7 2 2 11" xfId="3677" xr:uid="{00000000-0005-0000-0000-0000CA010000}"/>
    <cellStyle name="20% - Accent2 7 2 2 12" xfId="3678" xr:uid="{00000000-0005-0000-0000-0000CB010000}"/>
    <cellStyle name="20% - Accent2 7 2 2 2" xfId="3679" xr:uid="{00000000-0005-0000-0000-0000CC010000}"/>
    <cellStyle name="20% - Accent2 7 2 2 2 10" xfId="3680" xr:uid="{00000000-0005-0000-0000-0000CD010000}"/>
    <cellStyle name="20% - Accent2 7 2 2 2 11" xfId="3681" xr:uid="{00000000-0005-0000-0000-0000CE010000}"/>
    <cellStyle name="20% - Accent2 7 2 2 2 2" xfId="3682" xr:uid="{00000000-0005-0000-0000-0000CF010000}"/>
    <cellStyle name="20% - Accent2 7 2 2 2 2 2" xfId="3683" xr:uid="{00000000-0005-0000-0000-0000D0010000}"/>
    <cellStyle name="20% - Accent2 7 2 2 2 2 2 2" xfId="3684" xr:uid="{00000000-0005-0000-0000-0000D1010000}"/>
    <cellStyle name="20% - Accent2 7 2 2 2 2 2 3" xfId="3685" xr:uid="{00000000-0005-0000-0000-0000D2010000}"/>
    <cellStyle name="20% - Accent2 7 2 2 2 2 3" xfId="3686" xr:uid="{00000000-0005-0000-0000-0000D3010000}"/>
    <cellStyle name="20% - Accent2 7 2 2 2 2 3 2" xfId="3687" xr:uid="{00000000-0005-0000-0000-0000D4010000}"/>
    <cellStyle name="20% - Accent2 7 2 2 2 2 4" xfId="3688" xr:uid="{00000000-0005-0000-0000-0000D5010000}"/>
    <cellStyle name="20% - Accent2 7 2 2 2 2 5" xfId="3689" xr:uid="{00000000-0005-0000-0000-0000D6010000}"/>
    <cellStyle name="20% - Accent2 7 2 2 2 2 6" xfId="3690" xr:uid="{00000000-0005-0000-0000-0000D7010000}"/>
    <cellStyle name="20% - Accent2 7 2 2 2 2 7" xfId="3691" xr:uid="{00000000-0005-0000-0000-0000D8010000}"/>
    <cellStyle name="20% - Accent2 7 2 2 2 2 8" xfId="3692" xr:uid="{00000000-0005-0000-0000-0000D9010000}"/>
    <cellStyle name="20% - Accent2 7 2 2 2 3" xfId="3693" xr:uid="{00000000-0005-0000-0000-0000DA010000}"/>
    <cellStyle name="20% - Accent2 7 2 2 2 3 2" xfId="3694" xr:uid="{00000000-0005-0000-0000-0000DB010000}"/>
    <cellStyle name="20% - Accent2 7 2 2 2 3 2 2" xfId="3695" xr:uid="{00000000-0005-0000-0000-0000DC010000}"/>
    <cellStyle name="20% - Accent2 7 2 2 2 3 3" xfId="3696" xr:uid="{00000000-0005-0000-0000-0000DD010000}"/>
    <cellStyle name="20% - Accent2 7 2 2 2 3 4" xfId="3697" xr:uid="{00000000-0005-0000-0000-0000DE010000}"/>
    <cellStyle name="20% - Accent2 7 2 2 2 4" xfId="3698" xr:uid="{00000000-0005-0000-0000-0000DF010000}"/>
    <cellStyle name="20% - Accent2 7 2 2 2 4 2" xfId="3699" xr:uid="{00000000-0005-0000-0000-0000E0010000}"/>
    <cellStyle name="20% - Accent2 7 2 2 2 5" xfId="3700" xr:uid="{00000000-0005-0000-0000-0000E1010000}"/>
    <cellStyle name="20% - Accent2 7 2 2 2 5 2" xfId="3701" xr:uid="{00000000-0005-0000-0000-0000E2010000}"/>
    <cellStyle name="20% - Accent2 7 2 2 2 6" xfId="3702" xr:uid="{00000000-0005-0000-0000-0000E3010000}"/>
    <cellStyle name="20% - Accent2 7 2 2 2 6 2" xfId="3703" xr:uid="{00000000-0005-0000-0000-0000E4010000}"/>
    <cellStyle name="20% - Accent2 7 2 2 2 7" xfId="3704" xr:uid="{00000000-0005-0000-0000-0000E5010000}"/>
    <cellStyle name="20% - Accent2 7 2 2 2 8" xfId="3705" xr:uid="{00000000-0005-0000-0000-0000E6010000}"/>
    <cellStyle name="20% - Accent2 7 2 2 2 9" xfId="3706" xr:uid="{00000000-0005-0000-0000-0000E7010000}"/>
    <cellStyle name="20% - Accent2 7 2 2 3" xfId="3707" xr:uid="{00000000-0005-0000-0000-0000E8010000}"/>
    <cellStyle name="20% - Accent2 7 2 2 3 2" xfId="3708" xr:uid="{00000000-0005-0000-0000-0000E9010000}"/>
    <cellStyle name="20% - Accent2 7 2 2 3 2 2" xfId="3709" xr:uid="{00000000-0005-0000-0000-0000EA010000}"/>
    <cellStyle name="20% - Accent2 7 2 2 3 2 3" xfId="3710" xr:uid="{00000000-0005-0000-0000-0000EB010000}"/>
    <cellStyle name="20% - Accent2 7 2 2 3 3" xfId="3711" xr:uid="{00000000-0005-0000-0000-0000EC010000}"/>
    <cellStyle name="20% - Accent2 7 2 2 3 3 2" xfId="3712" xr:uid="{00000000-0005-0000-0000-0000ED010000}"/>
    <cellStyle name="20% - Accent2 7 2 2 3 4" xfId="3713" xr:uid="{00000000-0005-0000-0000-0000EE010000}"/>
    <cellStyle name="20% - Accent2 7 2 2 3 5" xfId="3714" xr:uid="{00000000-0005-0000-0000-0000EF010000}"/>
    <cellStyle name="20% - Accent2 7 2 2 3 6" xfId="3715" xr:uid="{00000000-0005-0000-0000-0000F0010000}"/>
    <cellStyle name="20% - Accent2 7 2 2 3 7" xfId="3716" xr:uid="{00000000-0005-0000-0000-0000F1010000}"/>
    <cellStyle name="20% - Accent2 7 2 2 3 8" xfId="3717" xr:uid="{00000000-0005-0000-0000-0000F2010000}"/>
    <cellStyle name="20% - Accent2 7 2 2 4" xfId="3718" xr:uid="{00000000-0005-0000-0000-0000F3010000}"/>
    <cellStyle name="20% - Accent2 7 2 2 4 2" xfId="3719" xr:uid="{00000000-0005-0000-0000-0000F4010000}"/>
    <cellStyle name="20% - Accent2 7 2 2 4 2 2" xfId="3720" xr:uid="{00000000-0005-0000-0000-0000F5010000}"/>
    <cellStyle name="20% - Accent2 7 2 2 4 3" xfId="3721" xr:uid="{00000000-0005-0000-0000-0000F6010000}"/>
    <cellStyle name="20% - Accent2 7 2 2 4 4" xfId="3722" xr:uid="{00000000-0005-0000-0000-0000F7010000}"/>
    <cellStyle name="20% - Accent2 7 2 2 5" xfId="3723" xr:uid="{00000000-0005-0000-0000-0000F8010000}"/>
    <cellStyle name="20% - Accent2 7 2 2 5 2" xfId="3724" xr:uid="{00000000-0005-0000-0000-0000F9010000}"/>
    <cellStyle name="20% - Accent2 7 2 2 6" xfId="3725" xr:uid="{00000000-0005-0000-0000-0000FA010000}"/>
    <cellStyle name="20% - Accent2 7 2 2 6 2" xfId="3726" xr:uid="{00000000-0005-0000-0000-0000FB010000}"/>
    <cellStyle name="20% - Accent2 7 2 2 7" xfId="3727" xr:uid="{00000000-0005-0000-0000-0000FC010000}"/>
    <cellStyle name="20% - Accent2 7 2 2 7 2" xfId="3728" xr:uid="{00000000-0005-0000-0000-0000FD010000}"/>
    <cellStyle name="20% - Accent2 7 2 2 8" xfId="3729" xr:uid="{00000000-0005-0000-0000-0000FE010000}"/>
    <cellStyle name="20% - Accent2 7 2 2 9" xfId="3730" xr:uid="{00000000-0005-0000-0000-0000FF010000}"/>
    <cellStyle name="20% - Accent2 7 2 3" xfId="3731" xr:uid="{00000000-0005-0000-0000-000000020000}"/>
    <cellStyle name="20% - Accent2 7 2 3 10" xfId="3732" xr:uid="{00000000-0005-0000-0000-000001020000}"/>
    <cellStyle name="20% - Accent2 7 2 3 11" xfId="3733" xr:uid="{00000000-0005-0000-0000-000002020000}"/>
    <cellStyle name="20% - Accent2 7 2 3 2" xfId="3734" xr:uid="{00000000-0005-0000-0000-000003020000}"/>
    <cellStyle name="20% - Accent2 7 2 3 2 2" xfId="3735" xr:uid="{00000000-0005-0000-0000-000004020000}"/>
    <cellStyle name="20% - Accent2 7 2 3 2 2 2" xfId="3736" xr:uid="{00000000-0005-0000-0000-000005020000}"/>
    <cellStyle name="20% - Accent2 7 2 3 2 2 3" xfId="3737" xr:uid="{00000000-0005-0000-0000-000006020000}"/>
    <cellStyle name="20% - Accent2 7 2 3 2 3" xfId="3738" xr:uid="{00000000-0005-0000-0000-000007020000}"/>
    <cellStyle name="20% - Accent2 7 2 3 2 3 2" xfId="3739" xr:uid="{00000000-0005-0000-0000-000008020000}"/>
    <cellStyle name="20% - Accent2 7 2 3 2 4" xfId="3740" xr:uid="{00000000-0005-0000-0000-000009020000}"/>
    <cellStyle name="20% - Accent2 7 2 3 2 5" xfId="3741" xr:uid="{00000000-0005-0000-0000-00000A020000}"/>
    <cellStyle name="20% - Accent2 7 2 3 2 6" xfId="3742" xr:uid="{00000000-0005-0000-0000-00000B020000}"/>
    <cellStyle name="20% - Accent2 7 2 3 2 7" xfId="3743" xr:uid="{00000000-0005-0000-0000-00000C020000}"/>
    <cellStyle name="20% - Accent2 7 2 3 2 8" xfId="3744" xr:uid="{00000000-0005-0000-0000-00000D020000}"/>
    <cellStyle name="20% - Accent2 7 2 3 3" xfId="3745" xr:uid="{00000000-0005-0000-0000-00000E020000}"/>
    <cellStyle name="20% - Accent2 7 2 3 3 2" xfId="3746" xr:uid="{00000000-0005-0000-0000-00000F020000}"/>
    <cellStyle name="20% - Accent2 7 2 3 3 2 2" xfId="3747" xr:uid="{00000000-0005-0000-0000-000010020000}"/>
    <cellStyle name="20% - Accent2 7 2 3 3 3" xfId="3748" xr:uid="{00000000-0005-0000-0000-000011020000}"/>
    <cellStyle name="20% - Accent2 7 2 3 3 4" xfId="3749" xr:uid="{00000000-0005-0000-0000-000012020000}"/>
    <cellStyle name="20% - Accent2 7 2 3 4" xfId="3750" xr:uid="{00000000-0005-0000-0000-000013020000}"/>
    <cellStyle name="20% - Accent2 7 2 3 4 2" xfId="3751" xr:uid="{00000000-0005-0000-0000-000014020000}"/>
    <cellStyle name="20% - Accent2 7 2 3 5" xfId="3752" xr:uid="{00000000-0005-0000-0000-000015020000}"/>
    <cellStyle name="20% - Accent2 7 2 3 5 2" xfId="3753" xr:uid="{00000000-0005-0000-0000-000016020000}"/>
    <cellStyle name="20% - Accent2 7 2 3 6" xfId="3754" xr:uid="{00000000-0005-0000-0000-000017020000}"/>
    <cellStyle name="20% - Accent2 7 2 3 6 2" xfId="3755" xr:uid="{00000000-0005-0000-0000-000018020000}"/>
    <cellStyle name="20% - Accent2 7 2 3 7" xfId="3756" xr:uid="{00000000-0005-0000-0000-000019020000}"/>
    <cellStyle name="20% - Accent2 7 2 3 8" xfId="3757" xr:uid="{00000000-0005-0000-0000-00001A020000}"/>
    <cellStyle name="20% - Accent2 7 2 3 9" xfId="3758" xr:uid="{00000000-0005-0000-0000-00001B020000}"/>
    <cellStyle name="20% - Accent2 7 2 4" xfId="3759" xr:uid="{00000000-0005-0000-0000-00001C020000}"/>
    <cellStyle name="20% - Accent2 7 2 4 2" xfId="3760" xr:uid="{00000000-0005-0000-0000-00001D020000}"/>
    <cellStyle name="20% - Accent2 7 2 4 2 2" xfId="3761" xr:uid="{00000000-0005-0000-0000-00001E020000}"/>
    <cellStyle name="20% - Accent2 7 2 4 2 3" xfId="3762" xr:uid="{00000000-0005-0000-0000-00001F020000}"/>
    <cellStyle name="20% - Accent2 7 2 4 3" xfId="3763" xr:uid="{00000000-0005-0000-0000-000020020000}"/>
    <cellStyle name="20% - Accent2 7 2 4 3 2" xfId="3764" xr:uid="{00000000-0005-0000-0000-000021020000}"/>
    <cellStyle name="20% - Accent2 7 2 4 4" xfId="3765" xr:uid="{00000000-0005-0000-0000-000022020000}"/>
    <cellStyle name="20% - Accent2 7 2 4 5" xfId="3766" xr:uid="{00000000-0005-0000-0000-000023020000}"/>
    <cellStyle name="20% - Accent2 7 2 4 6" xfId="3767" xr:uid="{00000000-0005-0000-0000-000024020000}"/>
    <cellStyle name="20% - Accent2 7 2 4 7" xfId="3768" xr:uid="{00000000-0005-0000-0000-000025020000}"/>
    <cellStyle name="20% - Accent2 7 2 4 8" xfId="3769" xr:uid="{00000000-0005-0000-0000-000026020000}"/>
    <cellStyle name="20% - Accent2 7 2 5" xfId="3770" xr:uid="{00000000-0005-0000-0000-000027020000}"/>
    <cellStyle name="20% - Accent2 7 2 5 2" xfId="3771" xr:uid="{00000000-0005-0000-0000-000028020000}"/>
    <cellStyle name="20% - Accent2 7 2 5 2 2" xfId="3772" xr:uid="{00000000-0005-0000-0000-000029020000}"/>
    <cellStyle name="20% - Accent2 7 2 5 3" xfId="3773" xr:uid="{00000000-0005-0000-0000-00002A020000}"/>
    <cellStyle name="20% - Accent2 7 2 5 4" xfId="3774" xr:uid="{00000000-0005-0000-0000-00002B020000}"/>
    <cellStyle name="20% - Accent2 7 2 6" xfId="3775" xr:uid="{00000000-0005-0000-0000-00002C020000}"/>
    <cellStyle name="20% - Accent2 7 2 6 2" xfId="3776" xr:uid="{00000000-0005-0000-0000-00002D020000}"/>
    <cellStyle name="20% - Accent2 7 2 7" xfId="3777" xr:uid="{00000000-0005-0000-0000-00002E020000}"/>
    <cellStyle name="20% - Accent2 7 2 7 2" xfId="3778" xr:uid="{00000000-0005-0000-0000-00002F020000}"/>
    <cellStyle name="20% - Accent2 7 2 8" xfId="3779" xr:uid="{00000000-0005-0000-0000-000030020000}"/>
    <cellStyle name="20% - Accent2 7 2 8 2" xfId="3780" xr:uid="{00000000-0005-0000-0000-000031020000}"/>
    <cellStyle name="20% - Accent2 7 2 9" xfId="3781" xr:uid="{00000000-0005-0000-0000-000032020000}"/>
    <cellStyle name="20% - Accent2 7 3" xfId="3782" xr:uid="{00000000-0005-0000-0000-000033020000}"/>
    <cellStyle name="20% - Accent2 7 3 10" xfId="3783" xr:uid="{00000000-0005-0000-0000-000034020000}"/>
    <cellStyle name="20% - Accent2 7 3 11" xfId="3784" xr:uid="{00000000-0005-0000-0000-000035020000}"/>
    <cellStyle name="20% - Accent2 7 3 12" xfId="3785" xr:uid="{00000000-0005-0000-0000-000036020000}"/>
    <cellStyle name="20% - Accent2 7 3 2" xfId="3786" xr:uid="{00000000-0005-0000-0000-000037020000}"/>
    <cellStyle name="20% - Accent2 7 3 2 10" xfId="3787" xr:uid="{00000000-0005-0000-0000-000038020000}"/>
    <cellStyle name="20% - Accent2 7 3 2 11" xfId="3788" xr:uid="{00000000-0005-0000-0000-000039020000}"/>
    <cellStyle name="20% - Accent2 7 3 2 2" xfId="3789" xr:uid="{00000000-0005-0000-0000-00003A020000}"/>
    <cellStyle name="20% - Accent2 7 3 2 2 2" xfId="3790" xr:uid="{00000000-0005-0000-0000-00003B020000}"/>
    <cellStyle name="20% - Accent2 7 3 2 2 2 2" xfId="3791" xr:uid="{00000000-0005-0000-0000-00003C020000}"/>
    <cellStyle name="20% - Accent2 7 3 2 2 2 3" xfId="3792" xr:uid="{00000000-0005-0000-0000-00003D020000}"/>
    <cellStyle name="20% - Accent2 7 3 2 2 3" xfId="3793" xr:uid="{00000000-0005-0000-0000-00003E020000}"/>
    <cellStyle name="20% - Accent2 7 3 2 2 3 2" xfId="3794" xr:uid="{00000000-0005-0000-0000-00003F020000}"/>
    <cellStyle name="20% - Accent2 7 3 2 2 4" xfId="3795" xr:uid="{00000000-0005-0000-0000-000040020000}"/>
    <cellStyle name="20% - Accent2 7 3 2 2 5" xfId="3796" xr:uid="{00000000-0005-0000-0000-000041020000}"/>
    <cellStyle name="20% - Accent2 7 3 2 2 6" xfId="3797" xr:uid="{00000000-0005-0000-0000-000042020000}"/>
    <cellStyle name="20% - Accent2 7 3 2 2 7" xfId="3798" xr:uid="{00000000-0005-0000-0000-000043020000}"/>
    <cellStyle name="20% - Accent2 7 3 2 2 8" xfId="3799" xr:uid="{00000000-0005-0000-0000-000044020000}"/>
    <cellStyle name="20% - Accent2 7 3 2 3" xfId="3800" xr:uid="{00000000-0005-0000-0000-000045020000}"/>
    <cellStyle name="20% - Accent2 7 3 2 3 2" xfId="3801" xr:uid="{00000000-0005-0000-0000-000046020000}"/>
    <cellStyle name="20% - Accent2 7 3 2 3 2 2" xfId="3802" xr:uid="{00000000-0005-0000-0000-000047020000}"/>
    <cellStyle name="20% - Accent2 7 3 2 3 3" xfId="3803" xr:uid="{00000000-0005-0000-0000-000048020000}"/>
    <cellStyle name="20% - Accent2 7 3 2 3 4" xfId="3804" xr:uid="{00000000-0005-0000-0000-000049020000}"/>
    <cellStyle name="20% - Accent2 7 3 2 4" xfId="3805" xr:uid="{00000000-0005-0000-0000-00004A020000}"/>
    <cellStyle name="20% - Accent2 7 3 2 4 2" xfId="3806" xr:uid="{00000000-0005-0000-0000-00004B020000}"/>
    <cellStyle name="20% - Accent2 7 3 2 5" xfId="3807" xr:uid="{00000000-0005-0000-0000-00004C020000}"/>
    <cellStyle name="20% - Accent2 7 3 2 5 2" xfId="3808" xr:uid="{00000000-0005-0000-0000-00004D020000}"/>
    <cellStyle name="20% - Accent2 7 3 2 6" xfId="3809" xr:uid="{00000000-0005-0000-0000-00004E020000}"/>
    <cellStyle name="20% - Accent2 7 3 2 6 2" xfId="3810" xr:uid="{00000000-0005-0000-0000-00004F020000}"/>
    <cellStyle name="20% - Accent2 7 3 2 7" xfId="3811" xr:uid="{00000000-0005-0000-0000-000050020000}"/>
    <cellStyle name="20% - Accent2 7 3 2 8" xfId="3812" xr:uid="{00000000-0005-0000-0000-000051020000}"/>
    <cellStyle name="20% - Accent2 7 3 2 9" xfId="3813" xr:uid="{00000000-0005-0000-0000-000052020000}"/>
    <cellStyle name="20% - Accent2 7 3 3" xfId="3814" xr:uid="{00000000-0005-0000-0000-000053020000}"/>
    <cellStyle name="20% - Accent2 7 3 3 2" xfId="3815" xr:uid="{00000000-0005-0000-0000-000054020000}"/>
    <cellStyle name="20% - Accent2 7 3 3 2 2" xfId="3816" xr:uid="{00000000-0005-0000-0000-000055020000}"/>
    <cellStyle name="20% - Accent2 7 3 3 2 3" xfId="3817" xr:uid="{00000000-0005-0000-0000-000056020000}"/>
    <cellStyle name="20% - Accent2 7 3 3 3" xfId="3818" xr:uid="{00000000-0005-0000-0000-000057020000}"/>
    <cellStyle name="20% - Accent2 7 3 3 3 2" xfId="3819" xr:uid="{00000000-0005-0000-0000-000058020000}"/>
    <cellStyle name="20% - Accent2 7 3 3 4" xfId="3820" xr:uid="{00000000-0005-0000-0000-000059020000}"/>
    <cellStyle name="20% - Accent2 7 3 3 5" xfId="3821" xr:uid="{00000000-0005-0000-0000-00005A020000}"/>
    <cellStyle name="20% - Accent2 7 3 3 6" xfId="3822" xr:uid="{00000000-0005-0000-0000-00005B020000}"/>
    <cellStyle name="20% - Accent2 7 3 3 7" xfId="3823" xr:uid="{00000000-0005-0000-0000-00005C020000}"/>
    <cellStyle name="20% - Accent2 7 3 3 8" xfId="3824" xr:uid="{00000000-0005-0000-0000-00005D020000}"/>
    <cellStyle name="20% - Accent2 7 3 4" xfId="3825" xr:uid="{00000000-0005-0000-0000-00005E020000}"/>
    <cellStyle name="20% - Accent2 7 3 4 2" xfId="3826" xr:uid="{00000000-0005-0000-0000-00005F020000}"/>
    <cellStyle name="20% - Accent2 7 3 4 2 2" xfId="3827" xr:uid="{00000000-0005-0000-0000-000060020000}"/>
    <cellStyle name="20% - Accent2 7 3 4 3" xfId="3828" xr:uid="{00000000-0005-0000-0000-000061020000}"/>
    <cellStyle name="20% - Accent2 7 3 4 4" xfId="3829" xr:uid="{00000000-0005-0000-0000-000062020000}"/>
    <cellStyle name="20% - Accent2 7 3 5" xfId="3830" xr:uid="{00000000-0005-0000-0000-000063020000}"/>
    <cellStyle name="20% - Accent2 7 3 5 2" xfId="3831" xr:uid="{00000000-0005-0000-0000-000064020000}"/>
    <cellStyle name="20% - Accent2 7 3 6" xfId="3832" xr:uid="{00000000-0005-0000-0000-000065020000}"/>
    <cellStyle name="20% - Accent2 7 3 6 2" xfId="3833" xr:uid="{00000000-0005-0000-0000-000066020000}"/>
    <cellStyle name="20% - Accent2 7 3 7" xfId="3834" xr:uid="{00000000-0005-0000-0000-000067020000}"/>
    <cellStyle name="20% - Accent2 7 3 7 2" xfId="3835" xr:uid="{00000000-0005-0000-0000-000068020000}"/>
    <cellStyle name="20% - Accent2 7 3 8" xfId="3836" xr:uid="{00000000-0005-0000-0000-000069020000}"/>
    <cellStyle name="20% - Accent2 7 3 9" xfId="3837" xr:uid="{00000000-0005-0000-0000-00006A020000}"/>
    <cellStyle name="20% - Accent2 7 4" xfId="3838" xr:uid="{00000000-0005-0000-0000-00006B020000}"/>
    <cellStyle name="20% - Accent2 7 4 10" xfId="3839" xr:uid="{00000000-0005-0000-0000-00006C020000}"/>
    <cellStyle name="20% - Accent2 7 4 11" xfId="3840" xr:uid="{00000000-0005-0000-0000-00006D020000}"/>
    <cellStyle name="20% - Accent2 7 4 2" xfId="3841" xr:uid="{00000000-0005-0000-0000-00006E020000}"/>
    <cellStyle name="20% - Accent2 7 4 2 2" xfId="3842" xr:uid="{00000000-0005-0000-0000-00006F020000}"/>
    <cellStyle name="20% - Accent2 7 4 2 2 2" xfId="3843" xr:uid="{00000000-0005-0000-0000-000070020000}"/>
    <cellStyle name="20% - Accent2 7 4 2 2 3" xfId="3844" xr:uid="{00000000-0005-0000-0000-000071020000}"/>
    <cellStyle name="20% - Accent2 7 4 2 3" xfId="3845" xr:uid="{00000000-0005-0000-0000-000072020000}"/>
    <cellStyle name="20% - Accent2 7 4 2 3 2" xfId="3846" xr:uid="{00000000-0005-0000-0000-000073020000}"/>
    <cellStyle name="20% - Accent2 7 4 2 4" xfId="3847" xr:uid="{00000000-0005-0000-0000-000074020000}"/>
    <cellStyle name="20% - Accent2 7 4 2 5" xfId="3848" xr:uid="{00000000-0005-0000-0000-000075020000}"/>
    <cellStyle name="20% - Accent2 7 4 2 6" xfId="3849" xr:uid="{00000000-0005-0000-0000-000076020000}"/>
    <cellStyle name="20% - Accent2 7 4 2 7" xfId="3850" xr:uid="{00000000-0005-0000-0000-000077020000}"/>
    <cellStyle name="20% - Accent2 7 4 2 8" xfId="3851" xr:uid="{00000000-0005-0000-0000-000078020000}"/>
    <cellStyle name="20% - Accent2 7 4 3" xfId="3852" xr:uid="{00000000-0005-0000-0000-000079020000}"/>
    <cellStyle name="20% - Accent2 7 4 3 2" xfId="3853" xr:uid="{00000000-0005-0000-0000-00007A020000}"/>
    <cellStyle name="20% - Accent2 7 4 3 2 2" xfId="3854" xr:uid="{00000000-0005-0000-0000-00007B020000}"/>
    <cellStyle name="20% - Accent2 7 4 3 3" xfId="3855" xr:uid="{00000000-0005-0000-0000-00007C020000}"/>
    <cellStyle name="20% - Accent2 7 4 3 4" xfId="3856" xr:uid="{00000000-0005-0000-0000-00007D020000}"/>
    <cellStyle name="20% - Accent2 7 4 4" xfId="3857" xr:uid="{00000000-0005-0000-0000-00007E020000}"/>
    <cellStyle name="20% - Accent2 7 4 4 2" xfId="3858" xr:uid="{00000000-0005-0000-0000-00007F020000}"/>
    <cellStyle name="20% - Accent2 7 4 5" xfId="3859" xr:uid="{00000000-0005-0000-0000-000080020000}"/>
    <cellStyle name="20% - Accent2 7 4 5 2" xfId="3860" xr:uid="{00000000-0005-0000-0000-000081020000}"/>
    <cellStyle name="20% - Accent2 7 4 6" xfId="3861" xr:uid="{00000000-0005-0000-0000-000082020000}"/>
    <cellStyle name="20% - Accent2 7 4 6 2" xfId="3862" xr:uid="{00000000-0005-0000-0000-000083020000}"/>
    <cellStyle name="20% - Accent2 7 4 7" xfId="3863" xr:uid="{00000000-0005-0000-0000-000084020000}"/>
    <cellStyle name="20% - Accent2 7 4 8" xfId="3864" xr:uid="{00000000-0005-0000-0000-000085020000}"/>
    <cellStyle name="20% - Accent2 7 4 9" xfId="3865" xr:uid="{00000000-0005-0000-0000-000086020000}"/>
    <cellStyle name="20% - Accent2 7 5" xfId="3866" xr:uid="{00000000-0005-0000-0000-000087020000}"/>
    <cellStyle name="20% - Accent2 7 5 2" xfId="3867" xr:uid="{00000000-0005-0000-0000-000088020000}"/>
    <cellStyle name="20% - Accent2 7 5 2 2" xfId="3868" xr:uid="{00000000-0005-0000-0000-000089020000}"/>
    <cellStyle name="20% - Accent2 7 5 2 3" xfId="3869" xr:uid="{00000000-0005-0000-0000-00008A020000}"/>
    <cellStyle name="20% - Accent2 7 5 3" xfId="3870" xr:uid="{00000000-0005-0000-0000-00008B020000}"/>
    <cellStyle name="20% - Accent2 7 5 3 2" xfId="3871" xr:uid="{00000000-0005-0000-0000-00008C020000}"/>
    <cellStyle name="20% - Accent2 7 5 4" xfId="3872" xr:uid="{00000000-0005-0000-0000-00008D020000}"/>
    <cellStyle name="20% - Accent2 7 5 5" xfId="3873" xr:uid="{00000000-0005-0000-0000-00008E020000}"/>
    <cellStyle name="20% - Accent2 7 5 6" xfId="3874" xr:uid="{00000000-0005-0000-0000-00008F020000}"/>
    <cellStyle name="20% - Accent2 7 5 7" xfId="3875" xr:uid="{00000000-0005-0000-0000-000090020000}"/>
    <cellStyle name="20% - Accent2 7 5 8" xfId="3876" xr:uid="{00000000-0005-0000-0000-000091020000}"/>
    <cellStyle name="20% - Accent2 7 6" xfId="3877" xr:uid="{00000000-0005-0000-0000-000092020000}"/>
    <cellStyle name="20% - Accent2 7 6 2" xfId="3878" xr:uid="{00000000-0005-0000-0000-000093020000}"/>
    <cellStyle name="20% - Accent2 7 6 2 2" xfId="3879" xr:uid="{00000000-0005-0000-0000-000094020000}"/>
    <cellStyle name="20% - Accent2 7 6 3" xfId="3880" xr:uid="{00000000-0005-0000-0000-000095020000}"/>
    <cellStyle name="20% - Accent2 7 6 4" xfId="3881" xr:uid="{00000000-0005-0000-0000-000096020000}"/>
    <cellStyle name="20% - Accent2 7 7" xfId="3882" xr:uid="{00000000-0005-0000-0000-000097020000}"/>
    <cellStyle name="20% - Accent2 7 7 2" xfId="3883" xr:uid="{00000000-0005-0000-0000-000098020000}"/>
    <cellStyle name="20% - Accent2 7 8" xfId="3884" xr:uid="{00000000-0005-0000-0000-000099020000}"/>
    <cellStyle name="20% - Accent2 7 8 2" xfId="3885" xr:uid="{00000000-0005-0000-0000-00009A020000}"/>
    <cellStyle name="20% - Accent2 7 9" xfId="3886" xr:uid="{00000000-0005-0000-0000-00009B020000}"/>
    <cellStyle name="20% - Accent2 7 9 2" xfId="3887" xr:uid="{00000000-0005-0000-0000-00009C020000}"/>
    <cellStyle name="20% - Accent2 8" xfId="3888" xr:uid="{00000000-0005-0000-0000-00009D020000}"/>
    <cellStyle name="20% - Accent2 9" xfId="3889" xr:uid="{00000000-0005-0000-0000-00009E020000}"/>
    <cellStyle name="20% - Accent2 9 2" xfId="3890" xr:uid="{00000000-0005-0000-0000-00009F020000}"/>
    <cellStyle name="20% - Accent2 9 3" xfId="3891" xr:uid="{00000000-0005-0000-0000-0000A0020000}"/>
    <cellStyle name="20% - Accent3 10" xfId="3892" xr:uid="{00000000-0005-0000-0000-0000A1020000}"/>
    <cellStyle name="20% - Accent3 11" xfId="3893" xr:uid="{00000000-0005-0000-0000-0000A2020000}"/>
    <cellStyle name="20% - Accent3 2" xfId="2995" xr:uid="{00000000-0005-0000-0000-0000A3020000}"/>
    <cellStyle name="20% - Accent3 2 2" xfId="3894" xr:uid="{00000000-0005-0000-0000-0000A4020000}"/>
    <cellStyle name="20% - Accent3 2 2 2" xfId="3895" xr:uid="{00000000-0005-0000-0000-0000A5020000}"/>
    <cellStyle name="20% - Accent3 2 3" xfId="3896" xr:uid="{00000000-0005-0000-0000-0000A6020000}"/>
    <cellStyle name="20% - Accent3 2 4" xfId="3897" xr:uid="{00000000-0005-0000-0000-0000A7020000}"/>
    <cellStyle name="20% - Accent3 2 5" xfId="3898" xr:uid="{00000000-0005-0000-0000-0000A8020000}"/>
    <cellStyle name="20% - Accent3 2 6" xfId="3899" xr:uid="{00000000-0005-0000-0000-0000A9020000}"/>
    <cellStyle name="20% - Accent3 2 7" xfId="3900" xr:uid="{00000000-0005-0000-0000-0000AA020000}"/>
    <cellStyle name="20% - Accent3 3" xfId="2996" xr:uid="{00000000-0005-0000-0000-0000AB020000}"/>
    <cellStyle name="20% - Accent3 3 2" xfId="3901" xr:uid="{00000000-0005-0000-0000-0000AC020000}"/>
    <cellStyle name="20% - Accent3 3 2 2" xfId="3902" xr:uid="{00000000-0005-0000-0000-0000AD020000}"/>
    <cellStyle name="20% - Accent3 3 3" xfId="3903" xr:uid="{00000000-0005-0000-0000-0000AE020000}"/>
    <cellStyle name="20% - Accent3 3 3 2" xfId="3904" xr:uid="{00000000-0005-0000-0000-0000AF020000}"/>
    <cellStyle name="20% - Accent3 3 4" xfId="3905" xr:uid="{00000000-0005-0000-0000-0000B0020000}"/>
    <cellStyle name="20% - Accent3 4" xfId="3184" xr:uid="{00000000-0005-0000-0000-0000B1020000}"/>
    <cellStyle name="20% - Accent3 4 2" xfId="3906" xr:uid="{00000000-0005-0000-0000-0000B2020000}"/>
    <cellStyle name="20% - Accent3 4 3" xfId="3907" xr:uid="{00000000-0005-0000-0000-0000B3020000}"/>
    <cellStyle name="20% - Accent3 4 4" xfId="3908" xr:uid="{00000000-0005-0000-0000-0000B4020000}"/>
    <cellStyle name="20% - Accent3 5" xfId="3909" xr:uid="{00000000-0005-0000-0000-0000B5020000}"/>
    <cellStyle name="20% - Accent3 5 2" xfId="3910" xr:uid="{00000000-0005-0000-0000-0000B6020000}"/>
    <cellStyle name="20% - Accent3 6" xfId="3911" xr:uid="{00000000-0005-0000-0000-0000B7020000}"/>
    <cellStyle name="20% - Accent3 6 2" xfId="3912" xr:uid="{00000000-0005-0000-0000-0000B8020000}"/>
    <cellStyle name="20% - Accent3 7" xfId="3913" xr:uid="{00000000-0005-0000-0000-0000B9020000}"/>
    <cellStyle name="20% - Accent3 7 10" xfId="3914" xr:uid="{00000000-0005-0000-0000-0000BA020000}"/>
    <cellStyle name="20% - Accent3 7 11" xfId="3915" xr:uid="{00000000-0005-0000-0000-0000BB020000}"/>
    <cellStyle name="20% - Accent3 7 12" xfId="3916" xr:uid="{00000000-0005-0000-0000-0000BC020000}"/>
    <cellStyle name="20% - Accent3 7 13" xfId="3917" xr:uid="{00000000-0005-0000-0000-0000BD020000}"/>
    <cellStyle name="20% - Accent3 7 14" xfId="3918" xr:uid="{00000000-0005-0000-0000-0000BE020000}"/>
    <cellStyle name="20% - Accent3 7 2" xfId="3919" xr:uid="{00000000-0005-0000-0000-0000BF020000}"/>
    <cellStyle name="20% - Accent3 7 2 10" xfId="3920" xr:uid="{00000000-0005-0000-0000-0000C0020000}"/>
    <cellStyle name="20% - Accent3 7 2 11" xfId="3921" xr:uid="{00000000-0005-0000-0000-0000C1020000}"/>
    <cellStyle name="20% - Accent3 7 2 12" xfId="3922" xr:uid="{00000000-0005-0000-0000-0000C2020000}"/>
    <cellStyle name="20% - Accent3 7 2 13" xfId="3923" xr:uid="{00000000-0005-0000-0000-0000C3020000}"/>
    <cellStyle name="20% - Accent3 7 2 2" xfId="3924" xr:uid="{00000000-0005-0000-0000-0000C4020000}"/>
    <cellStyle name="20% - Accent3 7 2 2 10" xfId="3925" xr:uid="{00000000-0005-0000-0000-0000C5020000}"/>
    <cellStyle name="20% - Accent3 7 2 2 11" xfId="3926" xr:uid="{00000000-0005-0000-0000-0000C6020000}"/>
    <cellStyle name="20% - Accent3 7 2 2 12" xfId="3927" xr:uid="{00000000-0005-0000-0000-0000C7020000}"/>
    <cellStyle name="20% - Accent3 7 2 2 2" xfId="3928" xr:uid="{00000000-0005-0000-0000-0000C8020000}"/>
    <cellStyle name="20% - Accent3 7 2 2 2 10" xfId="3929" xr:uid="{00000000-0005-0000-0000-0000C9020000}"/>
    <cellStyle name="20% - Accent3 7 2 2 2 11" xfId="3930" xr:uid="{00000000-0005-0000-0000-0000CA020000}"/>
    <cellStyle name="20% - Accent3 7 2 2 2 2" xfId="3931" xr:uid="{00000000-0005-0000-0000-0000CB020000}"/>
    <cellStyle name="20% - Accent3 7 2 2 2 2 2" xfId="3932" xr:uid="{00000000-0005-0000-0000-0000CC020000}"/>
    <cellStyle name="20% - Accent3 7 2 2 2 2 2 2" xfId="3933" xr:uid="{00000000-0005-0000-0000-0000CD020000}"/>
    <cellStyle name="20% - Accent3 7 2 2 2 2 2 3" xfId="3934" xr:uid="{00000000-0005-0000-0000-0000CE020000}"/>
    <cellStyle name="20% - Accent3 7 2 2 2 2 3" xfId="3935" xr:uid="{00000000-0005-0000-0000-0000CF020000}"/>
    <cellStyle name="20% - Accent3 7 2 2 2 2 3 2" xfId="3936" xr:uid="{00000000-0005-0000-0000-0000D0020000}"/>
    <cellStyle name="20% - Accent3 7 2 2 2 2 4" xfId="3937" xr:uid="{00000000-0005-0000-0000-0000D1020000}"/>
    <cellStyle name="20% - Accent3 7 2 2 2 2 5" xfId="3938" xr:uid="{00000000-0005-0000-0000-0000D2020000}"/>
    <cellStyle name="20% - Accent3 7 2 2 2 2 6" xfId="3939" xr:uid="{00000000-0005-0000-0000-0000D3020000}"/>
    <cellStyle name="20% - Accent3 7 2 2 2 2 7" xfId="3940" xr:uid="{00000000-0005-0000-0000-0000D4020000}"/>
    <cellStyle name="20% - Accent3 7 2 2 2 2 8" xfId="3941" xr:uid="{00000000-0005-0000-0000-0000D5020000}"/>
    <cellStyle name="20% - Accent3 7 2 2 2 3" xfId="3942" xr:uid="{00000000-0005-0000-0000-0000D6020000}"/>
    <cellStyle name="20% - Accent3 7 2 2 2 3 2" xfId="3943" xr:uid="{00000000-0005-0000-0000-0000D7020000}"/>
    <cellStyle name="20% - Accent3 7 2 2 2 3 2 2" xfId="3944" xr:uid="{00000000-0005-0000-0000-0000D8020000}"/>
    <cellStyle name="20% - Accent3 7 2 2 2 3 3" xfId="3945" xr:uid="{00000000-0005-0000-0000-0000D9020000}"/>
    <cellStyle name="20% - Accent3 7 2 2 2 3 4" xfId="3946" xr:uid="{00000000-0005-0000-0000-0000DA020000}"/>
    <cellStyle name="20% - Accent3 7 2 2 2 4" xfId="3947" xr:uid="{00000000-0005-0000-0000-0000DB020000}"/>
    <cellStyle name="20% - Accent3 7 2 2 2 4 2" xfId="3948" xr:uid="{00000000-0005-0000-0000-0000DC020000}"/>
    <cellStyle name="20% - Accent3 7 2 2 2 5" xfId="3949" xr:uid="{00000000-0005-0000-0000-0000DD020000}"/>
    <cellStyle name="20% - Accent3 7 2 2 2 5 2" xfId="3950" xr:uid="{00000000-0005-0000-0000-0000DE020000}"/>
    <cellStyle name="20% - Accent3 7 2 2 2 6" xfId="3951" xr:uid="{00000000-0005-0000-0000-0000DF020000}"/>
    <cellStyle name="20% - Accent3 7 2 2 2 6 2" xfId="3952" xr:uid="{00000000-0005-0000-0000-0000E0020000}"/>
    <cellStyle name="20% - Accent3 7 2 2 2 7" xfId="3953" xr:uid="{00000000-0005-0000-0000-0000E1020000}"/>
    <cellStyle name="20% - Accent3 7 2 2 2 8" xfId="3954" xr:uid="{00000000-0005-0000-0000-0000E2020000}"/>
    <cellStyle name="20% - Accent3 7 2 2 2 9" xfId="3955" xr:uid="{00000000-0005-0000-0000-0000E3020000}"/>
    <cellStyle name="20% - Accent3 7 2 2 3" xfId="3956" xr:uid="{00000000-0005-0000-0000-0000E4020000}"/>
    <cellStyle name="20% - Accent3 7 2 2 3 2" xfId="3957" xr:uid="{00000000-0005-0000-0000-0000E5020000}"/>
    <cellStyle name="20% - Accent3 7 2 2 3 2 2" xfId="3958" xr:uid="{00000000-0005-0000-0000-0000E6020000}"/>
    <cellStyle name="20% - Accent3 7 2 2 3 2 3" xfId="3959" xr:uid="{00000000-0005-0000-0000-0000E7020000}"/>
    <cellStyle name="20% - Accent3 7 2 2 3 3" xfId="3960" xr:uid="{00000000-0005-0000-0000-0000E8020000}"/>
    <cellStyle name="20% - Accent3 7 2 2 3 3 2" xfId="3961" xr:uid="{00000000-0005-0000-0000-0000E9020000}"/>
    <cellStyle name="20% - Accent3 7 2 2 3 4" xfId="3962" xr:uid="{00000000-0005-0000-0000-0000EA020000}"/>
    <cellStyle name="20% - Accent3 7 2 2 3 5" xfId="3963" xr:uid="{00000000-0005-0000-0000-0000EB020000}"/>
    <cellStyle name="20% - Accent3 7 2 2 3 6" xfId="3964" xr:uid="{00000000-0005-0000-0000-0000EC020000}"/>
    <cellStyle name="20% - Accent3 7 2 2 3 7" xfId="3965" xr:uid="{00000000-0005-0000-0000-0000ED020000}"/>
    <cellStyle name="20% - Accent3 7 2 2 3 8" xfId="3966" xr:uid="{00000000-0005-0000-0000-0000EE020000}"/>
    <cellStyle name="20% - Accent3 7 2 2 4" xfId="3967" xr:uid="{00000000-0005-0000-0000-0000EF020000}"/>
    <cellStyle name="20% - Accent3 7 2 2 4 2" xfId="3968" xr:uid="{00000000-0005-0000-0000-0000F0020000}"/>
    <cellStyle name="20% - Accent3 7 2 2 4 2 2" xfId="3969" xr:uid="{00000000-0005-0000-0000-0000F1020000}"/>
    <cellStyle name="20% - Accent3 7 2 2 4 3" xfId="3970" xr:uid="{00000000-0005-0000-0000-0000F2020000}"/>
    <cellStyle name="20% - Accent3 7 2 2 4 4" xfId="3971" xr:uid="{00000000-0005-0000-0000-0000F3020000}"/>
    <cellStyle name="20% - Accent3 7 2 2 5" xfId="3972" xr:uid="{00000000-0005-0000-0000-0000F4020000}"/>
    <cellStyle name="20% - Accent3 7 2 2 5 2" xfId="3973" xr:uid="{00000000-0005-0000-0000-0000F5020000}"/>
    <cellStyle name="20% - Accent3 7 2 2 6" xfId="3974" xr:uid="{00000000-0005-0000-0000-0000F6020000}"/>
    <cellStyle name="20% - Accent3 7 2 2 6 2" xfId="3975" xr:uid="{00000000-0005-0000-0000-0000F7020000}"/>
    <cellStyle name="20% - Accent3 7 2 2 7" xfId="3976" xr:uid="{00000000-0005-0000-0000-0000F8020000}"/>
    <cellStyle name="20% - Accent3 7 2 2 7 2" xfId="3977" xr:uid="{00000000-0005-0000-0000-0000F9020000}"/>
    <cellStyle name="20% - Accent3 7 2 2 8" xfId="3978" xr:uid="{00000000-0005-0000-0000-0000FA020000}"/>
    <cellStyle name="20% - Accent3 7 2 2 9" xfId="3979" xr:uid="{00000000-0005-0000-0000-0000FB020000}"/>
    <cellStyle name="20% - Accent3 7 2 3" xfId="3980" xr:uid="{00000000-0005-0000-0000-0000FC020000}"/>
    <cellStyle name="20% - Accent3 7 2 3 10" xfId="3981" xr:uid="{00000000-0005-0000-0000-0000FD020000}"/>
    <cellStyle name="20% - Accent3 7 2 3 11" xfId="3982" xr:uid="{00000000-0005-0000-0000-0000FE020000}"/>
    <cellStyle name="20% - Accent3 7 2 3 2" xfId="3983" xr:uid="{00000000-0005-0000-0000-0000FF020000}"/>
    <cellStyle name="20% - Accent3 7 2 3 2 2" xfId="3984" xr:uid="{00000000-0005-0000-0000-000000030000}"/>
    <cellStyle name="20% - Accent3 7 2 3 2 2 2" xfId="3985" xr:uid="{00000000-0005-0000-0000-000001030000}"/>
    <cellStyle name="20% - Accent3 7 2 3 2 2 3" xfId="3986" xr:uid="{00000000-0005-0000-0000-000002030000}"/>
    <cellStyle name="20% - Accent3 7 2 3 2 3" xfId="3987" xr:uid="{00000000-0005-0000-0000-000003030000}"/>
    <cellStyle name="20% - Accent3 7 2 3 2 3 2" xfId="3988" xr:uid="{00000000-0005-0000-0000-000004030000}"/>
    <cellStyle name="20% - Accent3 7 2 3 2 4" xfId="3989" xr:uid="{00000000-0005-0000-0000-000005030000}"/>
    <cellStyle name="20% - Accent3 7 2 3 2 5" xfId="3990" xr:uid="{00000000-0005-0000-0000-000006030000}"/>
    <cellStyle name="20% - Accent3 7 2 3 2 6" xfId="3991" xr:uid="{00000000-0005-0000-0000-000007030000}"/>
    <cellStyle name="20% - Accent3 7 2 3 2 7" xfId="3992" xr:uid="{00000000-0005-0000-0000-000008030000}"/>
    <cellStyle name="20% - Accent3 7 2 3 2 8" xfId="3993" xr:uid="{00000000-0005-0000-0000-000009030000}"/>
    <cellStyle name="20% - Accent3 7 2 3 3" xfId="3994" xr:uid="{00000000-0005-0000-0000-00000A030000}"/>
    <cellStyle name="20% - Accent3 7 2 3 3 2" xfId="3995" xr:uid="{00000000-0005-0000-0000-00000B030000}"/>
    <cellStyle name="20% - Accent3 7 2 3 3 2 2" xfId="3996" xr:uid="{00000000-0005-0000-0000-00000C030000}"/>
    <cellStyle name="20% - Accent3 7 2 3 3 3" xfId="3997" xr:uid="{00000000-0005-0000-0000-00000D030000}"/>
    <cellStyle name="20% - Accent3 7 2 3 3 4" xfId="3998" xr:uid="{00000000-0005-0000-0000-00000E030000}"/>
    <cellStyle name="20% - Accent3 7 2 3 4" xfId="3999" xr:uid="{00000000-0005-0000-0000-00000F030000}"/>
    <cellStyle name="20% - Accent3 7 2 3 4 2" xfId="4000" xr:uid="{00000000-0005-0000-0000-000010030000}"/>
    <cellStyle name="20% - Accent3 7 2 3 5" xfId="4001" xr:uid="{00000000-0005-0000-0000-000011030000}"/>
    <cellStyle name="20% - Accent3 7 2 3 5 2" xfId="4002" xr:uid="{00000000-0005-0000-0000-000012030000}"/>
    <cellStyle name="20% - Accent3 7 2 3 6" xfId="4003" xr:uid="{00000000-0005-0000-0000-000013030000}"/>
    <cellStyle name="20% - Accent3 7 2 3 6 2" xfId="4004" xr:uid="{00000000-0005-0000-0000-000014030000}"/>
    <cellStyle name="20% - Accent3 7 2 3 7" xfId="4005" xr:uid="{00000000-0005-0000-0000-000015030000}"/>
    <cellStyle name="20% - Accent3 7 2 3 8" xfId="4006" xr:uid="{00000000-0005-0000-0000-000016030000}"/>
    <cellStyle name="20% - Accent3 7 2 3 9" xfId="4007" xr:uid="{00000000-0005-0000-0000-000017030000}"/>
    <cellStyle name="20% - Accent3 7 2 4" xfId="4008" xr:uid="{00000000-0005-0000-0000-000018030000}"/>
    <cellStyle name="20% - Accent3 7 2 4 2" xfId="4009" xr:uid="{00000000-0005-0000-0000-000019030000}"/>
    <cellStyle name="20% - Accent3 7 2 4 2 2" xfId="4010" xr:uid="{00000000-0005-0000-0000-00001A030000}"/>
    <cellStyle name="20% - Accent3 7 2 4 2 3" xfId="4011" xr:uid="{00000000-0005-0000-0000-00001B030000}"/>
    <cellStyle name="20% - Accent3 7 2 4 3" xfId="4012" xr:uid="{00000000-0005-0000-0000-00001C030000}"/>
    <cellStyle name="20% - Accent3 7 2 4 3 2" xfId="4013" xr:uid="{00000000-0005-0000-0000-00001D030000}"/>
    <cellStyle name="20% - Accent3 7 2 4 4" xfId="4014" xr:uid="{00000000-0005-0000-0000-00001E030000}"/>
    <cellStyle name="20% - Accent3 7 2 4 5" xfId="4015" xr:uid="{00000000-0005-0000-0000-00001F030000}"/>
    <cellStyle name="20% - Accent3 7 2 4 6" xfId="4016" xr:uid="{00000000-0005-0000-0000-000020030000}"/>
    <cellStyle name="20% - Accent3 7 2 4 7" xfId="4017" xr:uid="{00000000-0005-0000-0000-000021030000}"/>
    <cellStyle name="20% - Accent3 7 2 4 8" xfId="4018" xr:uid="{00000000-0005-0000-0000-000022030000}"/>
    <cellStyle name="20% - Accent3 7 2 5" xfId="4019" xr:uid="{00000000-0005-0000-0000-000023030000}"/>
    <cellStyle name="20% - Accent3 7 2 5 2" xfId="4020" xr:uid="{00000000-0005-0000-0000-000024030000}"/>
    <cellStyle name="20% - Accent3 7 2 5 2 2" xfId="4021" xr:uid="{00000000-0005-0000-0000-000025030000}"/>
    <cellStyle name="20% - Accent3 7 2 5 3" xfId="4022" xr:uid="{00000000-0005-0000-0000-000026030000}"/>
    <cellStyle name="20% - Accent3 7 2 5 4" xfId="4023" xr:uid="{00000000-0005-0000-0000-000027030000}"/>
    <cellStyle name="20% - Accent3 7 2 6" xfId="4024" xr:uid="{00000000-0005-0000-0000-000028030000}"/>
    <cellStyle name="20% - Accent3 7 2 6 2" xfId="4025" xr:uid="{00000000-0005-0000-0000-000029030000}"/>
    <cellStyle name="20% - Accent3 7 2 7" xfId="4026" xr:uid="{00000000-0005-0000-0000-00002A030000}"/>
    <cellStyle name="20% - Accent3 7 2 7 2" xfId="4027" xr:uid="{00000000-0005-0000-0000-00002B030000}"/>
    <cellStyle name="20% - Accent3 7 2 8" xfId="4028" xr:uid="{00000000-0005-0000-0000-00002C030000}"/>
    <cellStyle name="20% - Accent3 7 2 8 2" xfId="4029" xr:uid="{00000000-0005-0000-0000-00002D030000}"/>
    <cellStyle name="20% - Accent3 7 2 9" xfId="4030" xr:uid="{00000000-0005-0000-0000-00002E030000}"/>
    <cellStyle name="20% - Accent3 7 3" xfId="4031" xr:uid="{00000000-0005-0000-0000-00002F030000}"/>
    <cellStyle name="20% - Accent3 7 3 10" xfId="4032" xr:uid="{00000000-0005-0000-0000-000030030000}"/>
    <cellStyle name="20% - Accent3 7 3 11" xfId="4033" xr:uid="{00000000-0005-0000-0000-000031030000}"/>
    <cellStyle name="20% - Accent3 7 3 12" xfId="4034" xr:uid="{00000000-0005-0000-0000-000032030000}"/>
    <cellStyle name="20% - Accent3 7 3 2" xfId="4035" xr:uid="{00000000-0005-0000-0000-000033030000}"/>
    <cellStyle name="20% - Accent3 7 3 2 10" xfId="4036" xr:uid="{00000000-0005-0000-0000-000034030000}"/>
    <cellStyle name="20% - Accent3 7 3 2 11" xfId="4037" xr:uid="{00000000-0005-0000-0000-000035030000}"/>
    <cellStyle name="20% - Accent3 7 3 2 2" xfId="4038" xr:uid="{00000000-0005-0000-0000-000036030000}"/>
    <cellStyle name="20% - Accent3 7 3 2 2 2" xfId="4039" xr:uid="{00000000-0005-0000-0000-000037030000}"/>
    <cellStyle name="20% - Accent3 7 3 2 2 2 2" xfId="4040" xr:uid="{00000000-0005-0000-0000-000038030000}"/>
    <cellStyle name="20% - Accent3 7 3 2 2 2 3" xfId="4041" xr:uid="{00000000-0005-0000-0000-000039030000}"/>
    <cellStyle name="20% - Accent3 7 3 2 2 3" xfId="4042" xr:uid="{00000000-0005-0000-0000-00003A030000}"/>
    <cellStyle name="20% - Accent3 7 3 2 2 3 2" xfId="4043" xr:uid="{00000000-0005-0000-0000-00003B030000}"/>
    <cellStyle name="20% - Accent3 7 3 2 2 4" xfId="4044" xr:uid="{00000000-0005-0000-0000-00003C030000}"/>
    <cellStyle name="20% - Accent3 7 3 2 2 5" xfId="4045" xr:uid="{00000000-0005-0000-0000-00003D030000}"/>
    <cellStyle name="20% - Accent3 7 3 2 2 6" xfId="4046" xr:uid="{00000000-0005-0000-0000-00003E030000}"/>
    <cellStyle name="20% - Accent3 7 3 2 2 7" xfId="4047" xr:uid="{00000000-0005-0000-0000-00003F030000}"/>
    <cellStyle name="20% - Accent3 7 3 2 2 8" xfId="4048" xr:uid="{00000000-0005-0000-0000-000040030000}"/>
    <cellStyle name="20% - Accent3 7 3 2 3" xfId="4049" xr:uid="{00000000-0005-0000-0000-000041030000}"/>
    <cellStyle name="20% - Accent3 7 3 2 3 2" xfId="4050" xr:uid="{00000000-0005-0000-0000-000042030000}"/>
    <cellStyle name="20% - Accent3 7 3 2 3 2 2" xfId="4051" xr:uid="{00000000-0005-0000-0000-000043030000}"/>
    <cellStyle name="20% - Accent3 7 3 2 3 3" xfId="4052" xr:uid="{00000000-0005-0000-0000-000044030000}"/>
    <cellStyle name="20% - Accent3 7 3 2 3 4" xfId="4053" xr:uid="{00000000-0005-0000-0000-000045030000}"/>
    <cellStyle name="20% - Accent3 7 3 2 4" xfId="4054" xr:uid="{00000000-0005-0000-0000-000046030000}"/>
    <cellStyle name="20% - Accent3 7 3 2 4 2" xfId="4055" xr:uid="{00000000-0005-0000-0000-000047030000}"/>
    <cellStyle name="20% - Accent3 7 3 2 5" xfId="4056" xr:uid="{00000000-0005-0000-0000-000048030000}"/>
    <cellStyle name="20% - Accent3 7 3 2 5 2" xfId="4057" xr:uid="{00000000-0005-0000-0000-000049030000}"/>
    <cellStyle name="20% - Accent3 7 3 2 6" xfId="4058" xr:uid="{00000000-0005-0000-0000-00004A030000}"/>
    <cellStyle name="20% - Accent3 7 3 2 6 2" xfId="4059" xr:uid="{00000000-0005-0000-0000-00004B030000}"/>
    <cellStyle name="20% - Accent3 7 3 2 7" xfId="4060" xr:uid="{00000000-0005-0000-0000-00004C030000}"/>
    <cellStyle name="20% - Accent3 7 3 2 8" xfId="4061" xr:uid="{00000000-0005-0000-0000-00004D030000}"/>
    <cellStyle name="20% - Accent3 7 3 2 9" xfId="4062" xr:uid="{00000000-0005-0000-0000-00004E030000}"/>
    <cellStyle name="20% - Accent3 7 3 3" xfId="4063" xr:uid="{00000000-0005-0000-0000-00004F030000}"/>
    <cellStyle name="20% - Accent3 7 3 3 2" xfId="4064" xr:uid="{00000000-0005-0000-0000-000050030000}"/>
    <cellStyle name="20% - Accent3 7 3 3 2 2" xfId="4065" xr:uid="{00000000-0005-0000-0000-000051030000}"/>
    <cellStyle name="20% - Accent3 7 3 3 2 3" xfId="4066" xr:uid="{00000000-0005-0000-0000-000052030000}"/>
    <cellStyle name="20% - Accent3 7 3 3 3" xfId="4067" xr:uid="{00000000-0005-0000-0000-000053030000}"/>
    <cellStyle name="20% - Accent3 7 3 3 3 2" xfId="4068" xr:uid="{00000000-0005-0000-0000-000054030000}"/>
    <cellStyle name="20% - Accent3 7 3 3 4" xfId="4069" xr:uid="{00000000-0005-0000-0000-000055030000}"/>
    <cellStyle name="20% - Accent3 7 3 3 5" xfId="4070" xr:uid="{00000000-0005-0000-0000-000056030000}"/>
    <cellStyle name="20% - Accent3 7 3 3 6" xfId="4071" xr:uid="{00000000-0005-0000-0000-000057030000}"/>
    <cellStyle name="20% - Accent3 7 3 3 7" xfId="4072" xr:uid="{00000000-0005-0000-0000-000058030000}"/>
    <cellStyle name="20% - Accent3 7 3 3 8" xfId="4073" xr:uid="{00000000-0005-0000-0000-000059030000}"/>
    <cellStyle name="20% - Accent3 7 3 4" xfId="4074" xr:uid="{00000000-0005-0000-0000-00005A030000}"/>
    <cellStyle name="20% - Accent3 7 3 4 2" xfId="4075" xr:uid="{00000000-0005-0000-0000-00005B030000}"/>
    <cellStyle name="20% - Accent3 7 3 4 2 2" xfId="4076" xr:uid="{00000000-0005-0000-0000-00005C030000}"/>
    <cellStyle name="20% - Accent3 7 3 4 3" xfId="4077" xr:uid="{00000000-0005-0000-0000-00005D030000}"/>
    <cellStyle name="20% - Accent3 7 3 4 4" xfId="4078" xr:uid="{00000000-0005-0000-0000-00005E030000}"/>
    <cellStyle name="20% - Accent3 7 3 5" xfId="4079" xr:uid="{00000000-0005-0000-0000-00005F030000}"/>
    <cellStyle name="20% - Accent3 7 3 5 2" xfId="4080" xr:uid="{00000000-0005-0000-0000-000060030000}"/>
    <cellStyle name="20% - Accent3 7 3 6" xfId="4081" xr:uid="{00000000-0005-0000-0000-000061030000}"/>
    <cellStyle name="20% - Accent3 7 3 6 2" xfId="4082" xr:uid="{00000000-0005-0000-0000-000062030000}"/>
    <cellStyle name="20% - Accent3 7 3 7" xfId="4083" xr:uid="{00000000-0005-0000-0000-000063030000}"/>
    <cellStyle name="20% - Accent3 7 3 7 2" xfId="4084" xr:uid="{00000000-0005-0000-0000-000064030000}"/>
    <cellStyle name="20% - Accent3 7 3 8" xfId="4085" xr:uid="{00000000-0005-0000-0000-000065030000}"/>
    <cellStyle name="20% - Accent3 7 3 9" xfId="4086" xr:uid="{00000000-0005-0000-0000-000066030000}"/>
    <cellStyle name="20% - Accent3 7 4" xfId="4087" xr:uid="{00000000-0005-0000-0000-000067030000}"/>
    <cellStyle name="20% - Accent3 7 4 10" xfId="4088" xr:uid="{00000000-0005-0000-0000-000068030000}"/>
    <cellStyle name="20% - Accent3 7 4 11" xfId="4089" xr:uid="{00000000-0005-0000-0000-000069030000}"/>
    <cellStyle name="20% - Accent3 7 4 2" xfId="4090" xr:uid="{00000000-0005-0000-0000-00006A030000}"/>
    <cellStyle name="20% - Accent3 7 4 2 2" xfId="4091" xr:uid="{00000000-0005-0000-0000-00006B030000}"/>
    <cellStyle name="20% - Accent3 7 4 2 2 2" xfId="4092" xr:uid="{00000000-0005-0000-0000-00006C030000}"/>
    <cellStyle name="20% - Accent3 7 4 2 2 3" xfId="4093" xr:uid="{00000000-0005-0000-0000-00006D030000}"/>
    <cellStyle name="20% - Accent3 7 4 2 3" xfId="4094" xr:uid="{00000000-0005-0000-0000-00006E030000}"/>
    <cellStyle name="20% - Accent3 7 4 2 3 2" xfId="4095" xr:uid="{00000000-0005-0000-0000-00006F030000}"/>
    <cellStyle name="20% - Accent3 7 4 2 4" xfId="4096" xr:uid="{00000000-0005-0000-0000-000070030000}"/>
    <cellStyle name="20% - Accent3 7 4 2 5" xfId="4097" xr:uid="{00000000-0005-0000-0000-000071030000}"/>
    <cellStyle name="20% - Accent3 7 4 2 6" xfId="4098" xr:uid="{00000000-0005-0000-0000-000072030000}"/>
    <cellStyle name="20% - Accent3 7 4 2 7" xfId="4099" xr:uid="{00000000-0005-0000-0000-000073030000}"/>
    <cellStyle name="20% - Accent3 7 4 2 8" xfId="4100" xr:uid="{00000000-0005-0000-0000-000074030000}"/>
    <cellStyle name="20% - Accent3 7 4 3" xfId="4101" xr:uid="{00000000-0005-0000-0000-000075030000}"/>
    <cellStyle name="20% - Accent3 7 4 3 2" xfId="4102" xr:uid="{00000000-0005-0000-0000-000076030000}"/>
    <cellStyle name="20% - Accent3 7 4 3 2 2" xfId="4103" xr:uid="{00000000-0005-0000-0000-000077030000}"/>
    <cellStyle name="20% - Accent3 7 4 3 3" xfId="4104" xr:uid="{00000000-0005-0000-0000-000078030000}"/>
    <cellStyle name="20% - Accent3 7 4 3 4" xfId="4105" xr:uid="{00000000-0005-0000-0000-000079030000}"/>
    <cellStyle name="20% - Accent3 7 4 4" xfId="4106" xr:uid="{00000000-0005-0000-0000-00007A030000}"/>
    <cellStyle name="20% - Accent3 7 4 4 2" xfId="4107" xr:uid="{00000000-0005-0000-0000-00007B030000}"/>
    <cellStyle name="20% - Accent3 7 4 5" xfId="4108" xr:uid="{00000000-0005-0000-0000-00007C030000}"/>
    <cellStyle name="20% - Accent3 7 4 5 2" xfId="4109" xr:uid="{00000000-0005-0000-0000-00007D030000}"/>
    <cellStyle name="20% - Accent3 7 4 6" xfId="4110" xr:uid="{00000000-0005-0000-0000-00007E030000}"/>
    <cellStyle name="20% - Accent3 7 4 6 2" xfId="4111" xr:uid="{00000000-0005-0000-0000-00007F030000}"/>
    <cellStyle name="20% - Accent3 7 4 7" xfId="4112" xr:uid="{00000000-0005-0000-0000-000080030000}"/>
    <cellStyle name="20% - Accent3 7 4 8" xfId="4113" xr:uid="{00000000-0005-0000-0000-000081030000}"/>
    <cellStyle name="20% - Accent3 7 4 9" xfId="4114" xr:uid="{00000000-0005-0000-0000-000082030000}"/>
    <cellStyle name="20% - Accent3 7 5" xfId="4115" xr:uid="{00000000-0005-0000-0000-000083030000}"/>
    <cellStyle name="20% - Accent3 7 5 2" xfId="4116" xr:uid="{00000000-0005-0000-0000-000084030000}"/>
    <cellStyle name="20% - Accent3 7 5 2 2" xfId="4117" xr:uid="{00000000-0005-0000-0000-000085030000}"/>
    <cellStyle name="20% - Accent3 7 5 2 3" xfId="4118" xr:uid="{00000000-0005-0000-0000-000086030000}"/>
    <cellStyle name="20% - Accent3 7 5 3" xfId="4119" xr:uid="{00000000-0005-0000-0000-000087030000}"/>
    <cellStyle name="20% - Accent3 7 5 3 2" xfId="4120" xr:uid="{00000000-0005-0000-0000-000088030000}"/>
    <cellStyle name="20% - Accent3 7 5 4" xfId="4121" xr:uid="{00000000-0005-0000-0000-000089030000}"/>
    <cellStyle name="20% - Accent3 7 5 5" xfId="4122" xr:uid="{00000000-0005-0000-0000-00008A030000}"/>
    <cellStyle name="20% - Accent3 7 5 6" xfId="4123" xr:uid="{00000000-0005-0000-0000-00008B030000}"/>
    <cellStyle name="20% - Accent3 7 5 7" xfId="4124" xr:uid="{00000000-0005-0000-0000-00008C030000}"/>
    <cellStyle name="20% - Accent3 7 5 8" xfId="4125" xr:uid="{00000000-0005-0000-0000-00008D030000}"/>
    <cellStyle name="20% - Accent3 7 6" xfId="4126" xr:uid="{00000000-0005-0000-0000-00008E030000}"/>
    <cellStyle name="20% - Accent3 7 6 2" xfId="4127" xr:uid="{00000000-0005-0000-0000-00008F030000}"/>
    <cellStyle name="20% - Accent3 7 6 2 2" xfId="4128" xr:uid="{00000000-0005-0000-0000-000090030000}"/>
    <cellStyle name="20% - Accent3 7 6 3" xfId="4129" xr:uid="{00000000-0005-0000-0000-000091030000}"/>
    <cellStyle name="20% - Accent3 7 6 4" xfId="4130" xr:uid="{00000000-0005-0000-0000-000092030000}"/>
    <cellStyle name="20% - Accent3 7 7" xfId="4131" xr:uid="{00000000-0005-0000-0000-000093030000}"/>
    <cellStyle name="20% - Accent3 7 7 2" xfId="4132" xr:uid="{00000000-0005-0000-0000-000094030000}"/>
    <cellStyle name="20% - Accent3 7 8" xfId="4133" xr:uid="{00000000-0005-0000-0000-000095030000}"/>
    <cellStyle name="20% - Accent3 7 8 2" xfId="4134" xr:uid="{00000000-0005-0000-0000-000096030000}"/>
    <cellStyle name="20% - Accent3 7 9" xfId="4135" xr:uid="{00000000-0005-0000-0000-000097030000}"/>
    <cellStyle name="20% - Accent3 7 9 2" xfId="4136" xr:uid="{00000000-0005-0000-0000-000098030000}"/>
    <cellStyle name="20% - Accent3 8" xfId="4137" xr:uid="{00000000-0005-0000-0000-000099030000}"/>
    <cellStyle name="20% - Accent3 9" xfId="4138" xr:uid="{00000000-0005-0000-0000-00009A030000}"/>
    <cellStyle name="20% - Accent3 9 2" xfId="4139" xr:uid="{00000000-0005-0000-0000-00009B030000}"/>
    <cellStyle name="20% - Accent3 9 3" xfId="4140" xr:uid="{00000000-0005-0000-0000-00009C030000}"/>
    <cellStyle name="20% - Accent4 10" xfId="4141" xr:uid="{00000000-0005-0000-0000-00009D030000}"/>
    <cellStyle name="20% - Accent4 11" xfId="4142" xr:uid="{00000000-0005-0000-0000-00009E030000}"/>
    <cellStyle name="20% - Accent4 2" xfId="2997" xr:uid="{00000000-0005-0000-0000-00009F030000}"/>
    <cellStyle name="20% - Accent4 2 2" xfId="4143" xr:uid="{00000000-0005-0000-0000-0000A0030000}"/>
    <cellStyle name="20% - Accent4 2 2 2" xfId="4144" xr:uid="{00000000-0005-0000-0000-0000A1030000}"/>
    <cellStyle name="20% - Accent4 2 3" xfId="4145" xr:uid="{00000000-0005-0000-0000-0000A2030000}"/>
    <cellStyle name="20% - Accent4 2 4" xfId="4146" xr:uid="{00000000-0005-0000-0000-0000A3030000}"/>
    <cellStyle name="20% - Accent4 2 5" xfId="4147" xr:uid="{00000000-0005-0000-0000-0000A4030000}"/>
    <cellStyle name="20% - Accent4 2 6" xfId="4148" xr:uid="{00000000-0005-0000-0000-0000A5030000}"/>
    <cellStyle name="20% - Accent4 2 7" xfId="4149" xr:uid="{00000000-0005-0000-0000-0000A6030000}"/>
    <cellStyle name="20% - Accent4 3" xfId="2998" xr:uid="{00000000-0005-0000-0000-0000A7030000}"/>
    <cellStyle name="20% - Accent4 3 2" xfId="4150" xr:uid="{00000000-0005-0000-0000-0000A8030000}"/>
    <cellStyle name="20% - Accent4 3 2 2" xfId="4151" xr:uid="{00000000-0005-0000-0000-0000A9030000}"/>
    <cellStyle name="20% - Accent4 3 3" xfId="4152" xr:uid="{00000000-0005-0000-0000-0000AA030000}"/>
    <cellStyle name="20% - Accent4 3 3 2" xfId="4153" xr:uid="{00000000-0005-0000-0000-0000AB030000}"/>
    <cellStyle name="20% - Accent4 3 4" xfId="4154" xr:uid="{00000000-0005-0000-0000-0000AC030000}"/>
    <cellStyle name="20% - Accent4 4" xfId="3185" xr:uid="{00000000-0005-0000-0000-0000AD030000}"/>
    <cellStyle name="20% - Accent4 4 2" xfId="4155" xr:uid="{00000000-0005-0000-0000-0000AE030000}"/>
    <cellStyle name="20% - Accent4 4 3" xfId="4156" xr:uid="{00000000-0005-0000-0000-0000AF030000}"/>
    <cellStyle name="20% - Accent4 4 4" xfId="4157" xr:uid="{00000000-0005-0000-0000-0000B0030000}"/>
    <cellStyle name="20% - Accent4 5" xfId="4158" xr:uid="{00000000-0005-0000-0000-0000B1030000}"/>
    <cellStyle name="20% - Accent4 5 2" xfId="4159" xr:uid="{00000000-0005-0000-0000-0000B2030000}"/>
    <cellStyle name="20% - Accent4 6" xfId="4160" xr:uid="{00000000-0005-0000-0000-0000B3030000}"/>
    <cellStyle name="20% - Accent4 6 2" xfId="4161" xr:uid="{00000000-0005-0000-0000-0000B4030000}"/>
    <cellStyle name="20% - Accent4 7" xfId="4162" xr:uid="{00000000-0005-0000-0000-0000B5030000}"/>
    <cellStyle name="20% - Accent4 7 10" xfId="4163" xr:uid="{00000000-0005-0000-0000-0000B6030000}"/>
    <cellStyle name="20% - Accent4 7 11" xfId="4164" xr:uid="{00000000-0005-0000-0000-0000B7030000}"/>
    <cellStyle name="20% - Accent4 7 12" xfId="4165" xr:uid="{00000000-0005-0000-0000-0000B8030000}"/>
    <cellStyle name="20% - Accent4 7 13" xfId="4166" xr:uid="{00000000-0005-0000-0000-0000B9030000}"/>
    <cellStyle name="20% - Accent4 7 14" xfId="4167" xr:uid="{00000000-0005-0000-0000-0000BA030000}"/>
    <cellStyle name="20% - Accent4 7 2" xfId="4168" xr:uid="{00000000-0005-0000-0000-0000BB030000}"/>
    <cellStyle name="20% - Accent4 7 2 10" xfId="4169" xr:uid="{00000000-0005-0000-0000-0000BC030000}"/>
    <cellStyle name="20% - Accent4 7 2 11" xfId="4170" xr:uid="{00000000-0005-0000-0000-0000BD030000}"/>
    <cellStyle name="20% - Accent4 7 2 12" xfId="4171" xr:uid="{00000000-0005-0000-0000-0000BE030000}"/>
    <cellStyle name="20% - Accent4 7 2 13" xfId="4172" xr:uid="{00000000-0005-0000-0000-0000BF030000}"/>
    <cellStyle name="20% - Accent4 7 2 2" xfId="4173" xr:uid="{00000000-0005-0000-0000-0000C0030000}"/>
    <cellStyle name="20% - Accent4 7 2 2 10" xfId="4174" xr:uid="{00000000-0005-0000-0000-0000C1030000}"/>
    <cellStyle name="20% - Accent4 7 2 2 11" xfId="4175" xr:uid="{00000000-0005-0000-0000-0000C2030000}"/>
    <cellStyle name="20% - Accent4 7 2 2 12" xfId="4176" xr:uid="{00000000-0005-0000-0000-0000C3030000}"/>
    <cellStyle name="20% - Accent4 7 2 2 2" xfId="4177" xr:uid="{00000000-0005-0000-0000-0000C4030000}"/>
    <cellStyle name="20% - Accent4 7 2 2 2 10" xfId="4178" xr:uid="{00000000-0005-0000-0000-0000C5030000}"/>
    <cellStyle name="20% - Accent4 7 2 2 2 11" xfId="4179" xr:uid="{00000000-0005-0000-0000-0000C6030000}"/>
    <cellStyle name="20% - Accent4 7 2 2 2 2" xfId="4180" xr:uid="{00000000-0005-0000-0000-0000C7030000}"/>
    <cellStyle name="20% - Accent4 7 2 2 2 2 2" xfId="4181" xr:uid="{00000000-0005-0000-0000-0000C8030000}"/>
    <cellStyle name="20% - Accent4 7 2 2 2 2 2 2" xfId="4182" xr:uid="{00000000-0005-0000-0000-0000C9030000}"/>
    <cellStyle name="20% - Accent4 7 2 2 2 2 2 3" xfId="4183" xr:uid="{00000000-0005-0000-0000-0000CA030000}"/>
    <cellStyle name="20% - Accent4 7 2 2 2 2 3" xfId="4184" xr:uid="{00000000-0005-0000-0000-0000CB030000}"/>
    <cellStyle name="20% - Accent4 7 2 2 2 2 3 2" xfId="4185" xr:uid="{00000000-0005-0000-0000-0000CC030000}"/>
    <cellStyle name="20% - Accent4 7 2 2 2 2 4" xfId="4186" xr:uid="{00000000-0005-0000-0000-0000CD030000}"/>
    <cellStyle name="20% - Accent4 7 2 2 2 2 5" xfId="4187" xr:uid="{00000000-0005-0000-0000-0000CE030000}"/>
    <cellStyle name="20% - Accent4 7 2 2 2 2 6" xfId="4188" xr:uid="{00000000-0005-0000-0000-0000CF030000}"/>
    <cellStyle name="20% - Accent4 7 2 2 2 2 7" xfId="4189" xr:uid="{00000000-0005-0000-0000-0000D0030000}"/>
    <cellStyle name="20% - Accent4 7 2 2 2 2 8" xfId="4190" xr:uid="{00000000-0005-0000-0000-0000D1030000}"/>
    <cellStyle name="20% - Accent4 7 2 2 2 3" xfId="4191" xr:uid="{00000000-0005-0000-0000-0000D2030000}"/>
    <cellStyle name="20% - Accent4 7 2 2 2 3 2" xfId="4192" xr:uid="{00000000-0005-0000-0000-0000D3030000}"/>
    <cellStyle name="20% - Accent4 7 2 2 2 3 2 2" xfId="4193" xr:uid="{00000000-0005-0000-0000-0000D4030000}"/>
    <cellStyle name="20% - Accent4 7 2 2 2 3 3" xfId="4194" xr:uid="{00000000-0005-0000-0000-0000D5030000}"/>
    <cellStyle name="20% - Accent4 7 2 2 2 3 4" xfId="4195" xr:uid="{00000000-0005-0000-0000-0000D6030000}"/>
    <cellStyle name="20% - Accent4 7 2 2 2 4" xfId="4196" xr:uid="{00000000-0005-0000-0000-0000D7030000}"/>
    <cellStyle name="20% - Accent4 7 2 2 2 4 2" xfId="4197" xr:uid="{00000000-0005-0000-0000-0000D8030000}"/>
    <cellStyle name="20% - Accent4 7 2 2 2 5" xfId="4198" xr:uid="{00000000-0005-0000-0000-0000D9030000}"/>
    <cellStyle name="20% - Accent4 7 2 2 2 5 2" xfId="4199" xr:uid="{00000000-0005-0000-0000-0000DA030000}"/>
    <cellStyle name="20% - Accent4 7 2 2 2 6" xfId="4200" xr:uid="{00000000-0005-0000-0000-0000DB030000}"/>
    <cellStyle name="20% - Accent4 7 2 2 2 6 2" xfId="4201" xr:uid="{00000000-0005-0000-0000-0000DC030000}"/>
    <cellStyle name="20% - Accent4 7 2 2 2 7" xfId="4202" xr:uid="{00000000-0005-0000-0000-0000DD030000}"/>
    <cellStyle name="20% - Accent4 7 2 2 2 8" xfId="4203" xr:uid="{00000000-0005-0000-0000-0000DE030000}"/>
    <cellStyle name="20% - Accent4 7 2 2 2 9" xfId="4204" xr:uid="{00000000-0005-0000-0000-0000DF030000}"/>
    <cellStyle name="20% - Accent4 7 2 2 3" xfId="4205" xr:uid="{00000000-0005-0000-0000-0000E0030000}"/>
    <cellStyle name="20% - Accent4 7 2 2 3 2" xfId="4206" xr:uid="{00000000-0005-0000-0000-0000E1030000}"/>
    <cellStyle name="20% - Accent4 7 2 2 3 2 2" xfId="4207" xr:uid="{00000000-0005-0000-0000-0000E2030000}"/>
    <cellStyle name="20% - Accent4 7 2 2 3 2 3" xfId="4208" xr:uid="{00000000-0005-0000-0000-0000E3030000}"/>
    <cellStyle name="20% - Accent4 7 2 2 3 3" xfId="4209" xr:uid="{00000000-0005-0000-0000-0000E4030000}"/>
    <cellStyle name="20% - Accent4 7 2 2 3 3 2" xfId="4210" xr:uid="{00000000-0005-0000-0000-0000E5030000}"/>
    <cellStyle name="20% - Accent4 7 2 2 3 4" xfId="4211" xr:uid="{00000000-0005-0000-0000-0000E6030000}"/>
    <cellStyle name="20% - Accent4 7 2 2 3 5" xfId="4212" xr:uid="{00000000-0005-0000-0000-0000E7030000}"/>
    <cellStyle name="20% - Accent4 7 2 2 3 6" xfId="4213" xr:uid="{00000000-0005-0000-0000-0000E8030000}"/>
    <cellStyle name="20% - Accent4 7 2 2 3 7" xfId="4214" xr:uid="{00000000-0005-0000-0000-0000E9030000}"/>
    <cellStyle name="20% - Accent4 7 2 2 3 8" xfId="4215" xr:uid="{00000000-0005-0000-0000-0000EA030000}"/>
    <cellStyle name="20% - Accent4 7 2 2 4" xfId="4216" xr:uid="{00000000-0005-0000-0000-0000EB030000}"/>
    <cellStyle name="20% - Accent4 7 2 2 4 2" xfId="4217" xr:uid="{00000000-0005-0000-0000-0000EC030000}"/>
    <cellStyle name="20% - Accent4 7 2 2 4 2 2" xfId="4218" xr:uid="{00000000-0005-0000-0000-0000ED030000}"/>
    <cellStyle name="20% - Accent4 7 2 2 4 3" xfId="4219" xr:uid="{00000000-0005-0000-0000-0000EE030000}"/>
    <cellStyle name="20% - Accent4 7 2 2 4 4" xfId="4220" xr:uid="{00000000-0005-0000-0000-0000EF030000}"/>
    <cellStyle name="20% - Accent4 7 2 2 5" xfId="4221" xr:uid="{00000000-0005-0000-0000-0000F0030000}"/>
    <cellStyle name="20% - Accent4 7 2 2 5 2" xfId="4222" xr:uid="{00000000-0005-0000-0000-0000F1030000}"/>
    <cellStyle name="20% - Accent4 7 2 2 6" xfId="4223" xr:uid="{00000000-0005-0000-0000-0000F2030000}"/>
    <cellStyle name="20% - Accent4 7 2 2 6 2" xfId="4224" xr:uid="{00000000-0005-0000-0000-0000F3030000}"/>
    <cellStyle name="20% - Accent4 7 2 2 7" xfId="4225" xr:uid="{00000000-0005-0000-0000-0000F4030000}"/>
    <cellStyle name="20% - Accent4 7 2 2 7 2" xfId="4226" xr:uid="{00000000-0005-0000-0000-0000F5030000}"/>
    <cellStyle name="20% - Accent4 7 2 2 8" xfId="4227" xr:uid="{00000000-0005-0000-0000-0000F6030000}"/>
    <cellStyle name="20% - Accent4 7 2 2 9" xfId="4228" xr:uid="{00000000-0005-0000-0000-0000F7030000}"/>
    <cellStyle name="20% - Accent4 7 2 3" xfId="4229" xr:uid="{00000000-0005-0000-0000-0000F8030000}"/>
    <cellStyle name="20% - Accent4 7 2 3 10" xfId="4230" xr:uid="{00000000-0005-0000-0000-0000F9030000}"/>
    <cellStyle name="20% - Accent4 7 2 3 11" xfId="4231" xr:uid="{00000000-0005-0000-0000-0000FA030000}"/>
    <cellStyle name="20% - Accent4 7 2 3 2" xfId="4232" xr:uid="{00000000-0005-0000-0000-0000FB030000}"/>
    <cellStyle name="20% - Accent4 7 2 3 2 2" xfId="4233" xr:uid="{00000000-0005-0000-0000-0000FC030000}"/>
    <cellStyle name="20% - Accent4 7 2 3 2 2 2" xfId="4234" xr:uid="{00000000-0005-0000-0000-0000FD030000}"/>
    <cellStyle name="20% - Accent4 7 2 3 2 2 3" xfId="4235" xr:uid="{00000000-0005-0000-0000-0000FE030000}"/>
    <cellStyle name="20% - Accent4 7 2 3 2 3" xfId="4236" xr:uid="{00000000-0005-0000-0000-0000FF030000}"/>
    <cellStyle name="20% - Accent4 7 2 3 2 3 2" xfId="4237" xr:uid="{00000000-0005-0000-0000-000000040000}"/>
    <cellStyle name="20% - Accent4 7 2 3 2 4" xfId="4238" xr:uid="{00000000-0005-0000-0000-000001040000}"/>
    <cellStyle name="20% - Accent4 7 2 3 2 5" xfId="4239" xr:uid="{00000000-0005-0000-0000-000002040000}"/>
    <cellStyle name="20% - Accent4 7 2 3 2 6" xfId="4240" xr:uid="{00000000-0005-0000-0000-000003040000}"/>
    <cellStyle name="20% - Accent4 7 2 3 2 7" xfId="4241" xr:uid="{00000000-0005-0000-0000-000004040000}"/>
    <cellStyle name="20% - Accent4 7 2 3 2 8" xfId="4242" xr:uid="{00000000-0005-0000-0000-000005040000}"/>
    <cellStyle name="20% - Accent4 7 2 3 3" xfId="4243" xr:uid="{00000000-0005-0000-0000-000006040000}"/>
    <cellStyle name="20% - Accent4 7 2 3 3 2" xfId="4244" xr:uid="{00000000-0005-0000-0000-000007040000}"/>
    <cellStyle name="20% - Accent4 7 2 3 3 2 2" xfId="4245" xr:uid="{00000000-0005-0000-0000-000008040000}"/>
    <cellStyle name="20% - Accent4 7 2 3 3 3" xfId="4246" xr:uid="{00000000-0005-0000-0000-000009040000}"/>
    <cellStyle name="20% - Accent4 7 2 3 3 4" xfId="4247" xr:uid="{00000000-0005-0000-0000-00000A040000}"/>
    <cellStyle name="20% - Accent4 7 2 3 4" xfId="4248" xr:uid="{00000000-0005-0000-0000-00000B040000}"/>
    <cellStyle name="20% - Accent4 7 2 3 4 2" xfId="4249" xr:uid="{00000000-0005-0000-0000-00000C040000}"/>
    <cellStyle name="20% - Accent4 7 2 3 5" xfId="4250" xr:uid="{00000000-0005-0000-0000-00000D040000}"/>
    <cellStyle name="20% - Accent4 7 2 3 5 2" xfId="4251" xr:uid="{00000000-0005-0000-0000-00000E040000}"/>
    <cellStyle name="20% - Accent4 7 2 3 6" xfId="4252" xr:uid="{00000000-0005-0000-0000-00000F040000}"/>
    <cellStyle name="20% - Accent4 7 2 3 6 2" xfId="4253" xr:uid="{00000000-0005-0000-0000-000010040000}"/>
    <cellStyle name="20% - Accent4 7 2 3 7" xfId="4254" xr:uid="{00000000-0005-0000-0000-000011040000}"/>
    <cellStyle name="20% - Accent4 7 2 3 8" xfId="4255" xr:uid="{00000000-0005-0000-0000-000012040000}"/>
    <cellStyle name="20% - Accent4 7 2 3 9" xfId="4256" xr:uid="{00000000-0005-0000-0000-000013040000}"/>
    <cellStyle name="20% - Accent4 7 2 4" xfId="4257" xr:uid="{00000000-0005-0000-0000-000014040000}"/>
    <cellStyle name="20% - Accent4 7 2 4 2" xfId="4258" xr:uid="{00000000-0005-0000-0000-000015040000}"/>
    <cellStyle name="20% - Accent4 7 2 4 2 2" xfId="4259" xr:uid="{00000000-0005-0000-0000-000016040000}"/>
    <cellStyle name="20% - Accent4 7 2 4 2 3" xfId="4260" xr:uid="{00000000-0005-0000-0000-000017040000}"/>
    <cellStyle name="20% - Accent4 7 2 4 3" xfId="4261" xr:uid="{00000000-0005-0000-0000-000018040000}"/>
    <cellStyle name="20% - Accent4 7 2 4 3 2" xfId="4262" xr:uid="{00000000-0005-0000-0000-000019040000}"/>
    <cellStyle name="20% - Accent4 7 2 4 4" xfId="4263" xr:uid="{00000000-0005-0000-0000-00001A040000}"/>
    <cellStyle name="20% - Accent4 7 2 4 5" xfId="4264" xr:uid="{00000000-0005-0000-0000-00001B040000}"/>
    <cellStyle name="20% - Accent4 7 2 4 6" xfId="4265" xr:uid="{00000000-0005-0000-0000-00001C040000}"/>
    <cellStyle name="20% - Accent4 7 2 4 7" xfId="4266" xr:uid="{00000000-0005-0000-0000-00001D040000}"/>
    <cellStyle name="20% - Accent4 7 2 4 8" xfId="4267" xr:uid="{00000000-0005-0000-0000-00001E040000}"/>
    <cellStyle name="20% - Accent4 7 2 5" xfId="4268" xr:uid="{00000000-0005-0000-0000-00001F040000}"/>
    <cellStyle name="20% - Accent4 7 2 5 2" xfId="4269" xr:uid="{00000000-0005-0000-0000-000020040000}"/>
    <cellStyle name="20% - Accent4 7 2 5 2 2" xfId="4270" xr:uid="{00000000-0005-0000-0000-000021040000}"/>
    <cellStyle name="20% - Accent4 7 2 5 3" xfId="4271" xr:uid="{00000000-0005-0000-0000-000022040000}"/>
    <cellStyle name="20% - Accent4 7 2 5 4" xfId="4272" xr:uid="{00000000-0005-0000-0000-000023040000}"/>
    <cellStyle name="20% - Accent4 7 2 6" xfId="4273" xr:uid="{00000000-0005-0000-0000-000024040000}"/>
    <cellStyle name="20% - Accent4 7 2 6 2" xfId="4274" xr:uid="{00000000-0005-0000-0000-000025040000}"/>
    <cellStyle name="20% - Accent4 7 2 7" xfId="4275" xr:uid="{00000000-0005-0000-0000-000026040000}"/>
    <cellStyle name="20% - Accent4 7 2 7 2" xfId="4276" xr:uid="{00000000-0005-0000-0000-000027040000}"/>
    <cellStyle name="20% - Accent4 7 2 8" xfId="4277" xr:uid="{00000000-0005-0000-0000-000028040000}"/>
    <cellStyle name="20% - Accent4 7 2 8 2" xfId="4278" xr:uid="{00000000-0005-0000-0000-000029040000}"/>
    <cellStyle name="20% - Accent4 7 2 9" xfId="4279" xr:uid="{00000000-0005-0000-0000-00002A040000}"/>
    <cellStyle name="20% - Accent4 7 3" xfId="4280" xr:uid="{00000000-0005-0000-0000-00002B040000}"/>
    <cellStyle name="20% - Accent4 7 3 10" xfId="4281" xr:uid="{00000000-0005-0000-0000-00002C040000}"/>
    <cellStyle name="20% - Accent4 7 3 11" xfId="4282" xr:uid="{00000000-0005-0000-0000-00002D040000}"/>
    <cellStyle name="20% - Accent4 7 3 12" xfId="4283" xr:uid="{00000000-0005-0000-0000-00002E040000}"/>
    <cellStyle name="20% - Accent4 7 3 2" xfId="4284" xr:uid="{00000000-0005-0000-0000-00002F040000}"/>
    <cellStyle name="20% - Accent4 7 3 2 10" xfId="4285" xr:uid="{00000000-0005-0000-0000-000030040000}"/>
    <cellStyle name="20% - Accent4 7 3 2 11" xfId="4286" xr:uid="{00000000-0005-0000-0000-000031040000}"/>
    <cellStyle name="20% - Accent4 7 3 2 2" xfId="4287" xr:uid="{00000000-0005-0000-0000-000032040000}"/>
    <cellStyle name="20% - Accent4 7 3 2 2 2" xfId="4288" xr:uid="{00000000-0005-0000-0000-000033040000}"/>
    <cellStyle name="20% - Accent4 7 3 2 2 2 2" xfId="4289" xr:uid="{00000000-0005-0000-0000-000034040000}"/>
    <cellStyle name="20% - Accent4 7 3 2 2 2 3" xfId="4290" xr:uid="{00000000-0005-0000-0000-000035040000}"/>
    <cellStyle name="20% - Accent4 7 3 2 2 3" xfId="4291" xr:uid="{00000000-0005-0000-0000-000036040000}"/>
    <cellStyle name="20% - Accent4 7 3 2 2 3 2" xfId="4292" xr:uid="{00000000-0005-0000-0000-000037040000}"/>
    <cellStyle name="20% - Accent4 7 3 2 2 4" xfId="4293" xr:uid="{00000000-0005-0000-0000-000038040000}"/>
    <cellStyle name="20% - Accent4 7 3 2 2 5" xfId="4294" xr:uid="{00000000-0005-0000-0000-000039040000}"/>
    <cellStyle name="20% - Accent4 7 3 2 2 6" xfId="4295" xr:uid="{00000000-0005-0000-0000-00003A040000}"/>
    <cellStyle name="20% - Accent4 7 3 2 2 7" xfId="4296" xr:uid="{00000000-0005-0000-0000-00003B040000}"/>
    <cellStyle name="20% - Accent4 7 3 2 2 8" xfId="4297" xr:uid="{00000000-0005-0000-0000-00003C040000}"/>
    <cellStyle name="20% - Accent4 7 3 2 3" xfId="4298" xr:uid="{00000000-0005-0000-0000-00003D040000}"/>
    <cellStyle name="20% - Accent4 7 3 2 3 2" xfId="4299" xr:uid="{00000000-0005-0000-0000-00003E040000}"/>
    <cellStyle name="20% - Accent4 7 3 2 3 2 2" xfId="4300" xr:uid="{00000000-0005-0000-0000-00003F040000}"/>
    <cellStyle name="20% - Accent4 7 3 2 3 3" xfId="4301" xr:uid="{00000000-0005-0000-0000-000040040000}"/>
    <cellStyle name="20% - Accent4 7 3 2 3 4" xfId="4302" xr:uid="{00000000-0005-0000-0000-000041040000}"/>
    <cellStyle name="20% - Accent4 7 3 2 4" xfId="4303" xr:uid="{00000000-0005-0000-0000-000042040000}"/>
    <cellStyle name="20% - Accent4 7 3 2 4 2" xfId="4304" xr:uid="{00000000-0005-0000-0000-000043040000}"/>
    <cellStyle name="20% - Accent4 7 3 2 5" xfId="4305" xr:uid="{00000000-0005-0000-0000-000044040000}"/>
    <cellStyle name="20% - Accent4 7 3 2 5 2" xfId="4306" xr:uid="{00000000-0005-0000-0000-000045040000}"/>
    <cellStyle name="20% - Accent4 7 3 2 6" xfId="4307" xr:uid="{00000000-0005-0000-0000-000046040000}"/>
    <cellStyle name="20% - Accent4 7 3 2 6 2" xfId="4308" xr:uid="{00000000-0005-0000-0000-000047040000}"/>
    <cellStyle name="20% - Accent4 7 3 2 7" xfId="4309" xr:uid="{00000000-0005-0000-0000-000048040000}"/>
    <cellStyle name="20% - Accent4 7 3 2 8" xfId="4310" xr:uid="{00000000-0005-0000-0000-000049040000}"/>
    <cellStyle name="20% - Accent4 7 3 2 9" xfId="4311" xr:uid="{00000000-0005-0000-0000-00004A040000}"/>
    <cellStyle name="20% - Accent4 7 3 3" xfId="4312" xr:uid="{00000000-0005-0000-0000-00004B040000}"/>
    <cellStyle name="20% - Accent4 7 3 3 2" xfId="4313" xr:uid="{00000000-0005-0000-0000-00004C040000}"/>
    <cellStyle name="20% - Accent4 7 3 3 2 2" xfId="4314" xr:uid="{00000000-0005-0000-0000-00004D040000}"/>
    <cellStyle name="20% - Accent4 7 3 3 2 3" xfId="4315" xr:uid="{00000000-0005-0000-0000-00004E040000}"/>
    <cellStyle name="20% - Accent4 7 3 3 3" xfId="4316" xr:uid="{00000000-0005-0000-0000-00004F040000}"/>
    <cellStyle name="20% - Accent4 7 3 3 3 2" xfId="4317" xr:uid="{00000000-0005-0000-0000-000050040000}"/>
    <cellStyle name="20% - Accent4 7 3 3 4" xfId="4318" xr:uid="{00000000-0005-0000-0000-000051040000}"/>
    <cellStyle name="20% - Accent4 7 3 3 5" xfId="4319" xr:uid="{00000000-0005-0000-0000-000052040000}"/>
    <cellStyle name="20% - Accent4 7 3 3 6" xfId="4320" xr:uid="{00000000-0005-0000-0000-000053040000}"/>
    <cellStyle name="20% - Accent4 7 3 3 7" xfId="4321" xr:uid="{00000000-0005-0000-0000-000054040000}"/>
    <cellStyle name="20% - Accent4 7 3 3 8" xfId="4322" xr:uid="{00000000-0005-0000-0000-000055040000}"/>
    <cellStyle name="20% - Accent4 7 3 4" xfId="4323" xr:uid="{00000000-0005-0000-0000-000056040000}"/>
    <cellStyle name="20% - Accent4 7 3 4 2" xfId="4324" xr:uid="{00000000-0005-0000-0000-000057040000}"/>
    <cellStyle name="20% - Accent4 7 3 4 2 2" xfId="4325" xr:uid="{00000000-0005-0000-0000-000058040000}"/>
    <cellStyle name="20% - Accent4 7 3 4 3" xfId="4326" xr:uid="{00000000-0005-0000-0000-000059040000}"/>
    <cellStyle name="20% - Accent4 7 3 4 4" xfId="4327" xr:uid="{00000000-0005-0000-0000-00005A040000}"/>
    <cellStyle name="20% - Accent4 7 3 5" xfId="4328" xr:uid="{00000000-0005-0000-0000-00005B040000}"/>
    <cellStyle name="20% - Accent4 7 3 5 2" xfId="4329" xr:uid="{00000000-0005-0000-0000-00005C040000}"/>
    <cellStyle name="20% - Accent4 7 3 6" xfId="4330" xr:uid="{00000000-0005-0000-0000-00005D040000}"/>
    <cellStyle name="20% - Accent4 7 3 6 2" xfId="4331" xr:uid="{00000000-0005-0000-0000-00005E040000}"/>
    <cellStyle name="20% - Accent4 7 3 7" xfId="4332" xr:uid="{00000000-0005-0000-0000-00005F040000}"/>
    <cellStyle name="20% - Accent4 7 3 7 2" xfId="4333" xr:uid="{00000000-0005-0000-0000-000060040000}"/>
    <cellStyle name="20% - Accent4 7 3 8" xfId="4334" xr:uid="{00000000-0005-0000-0000-000061040000}"/>
    <cellStyle name="20% - Accent4 7 3 9" xfId="4335" xr:uid="{00000000-0005-0000-0000-000062040000}"/>
    <cellStyle name="20% - Accent4 7 4" xfId="4336" xr:uid="{00000000-0005-0000-0000-000063040000}"/>
    <cellStyle name="20% - Accent4 7 4 10" xfId="4337" xr:uid="{00000000-0005-0000-0000-000064040000}"/>
    <cellStyle name="20% - Accent4 7 4 11" xfId="4338" xr:uid="{00000000-0005-0000-0000-000065040000}"/>
    <cellStyle name="20% - Accent4 7 4 2" xfId="4339" xr:uid="{00000000-0005-0000-0000-000066040000}"/>
    <cellStyle name="20% - Accent4 7 4 2 2" xfId="4340" xr:uid="{00000000-0005-0000-0000-000067040000}"/>
    <cellStyle name="20% - Accent4 7 4 2 2 2" xfId="4341" xr:uid="{00000000-0005-0000-0000-000068040000}"/>
    <cellStyle name="20% - Accent4 7 4 2 2 3" xfId="4342" xr:uid="{00000000-0005-0000-0000-000069040000}"/>
    <cellStyle name="20% - Accent4 7 4 2 3" xfId="4343" xr:uid="{00000000-0005-0000-0000-00006A040000}"/>
    <cellStyle name="20% - Accent4 7 4 2 3 2" xfId="4344" xr:uid="{00000000-0005-0000-0000-00006B040000}"/>
    <cellStyle name="20% - Accent4 7 4 2 4" xfId="4345" xr:uid="{00000000-0005-0000-0000-00006C040000}"/>
    <cellStyle name="20% - Accent4 7 4 2 5" xfId="4346" xr:uid="{00000000-0005-0000-0000-00006D040000}"/>
    <cellStyle name="20% - Accent4 7 4 2 6" xfId="4347" xr:uid="{00000000-0005-0000-0000-00006E040000}"/>
    <cellStyle name="20% - Accent4 7 4 2 7" xfId="4348" xr:uid="{00000000-0005-0000-0000-00006F040000}"/>
    <cellStyle name="20% - Accent4 7 4 2 8" xfId="4349" xr:uid="{00000000-0005-0000-0000-000070040000}"/>
    <cellStyle name="20% - Accent4 7 4 3" xfId="4350" xr:uid="{00000000-0005-0000-0000-000071040000}"/>
    <cellStyle name="20% - Accent4 7 4 3 2" xfId="4351" xr:uid="{00000000-0005-0000-0000-000072040000}"/>
    <cellStyle name="20% - Accent4 7 4 3 2 2" xfId="4352" xr:uid="{00000000-0005-0000-0000-000073040000}"/>
    <cellStyle name="20% - Accent4 7 4 3 3" xfId="4353" xr:uid="{00000000-0005-0000-0000-000074040000}"/>
    <cellStyle name="20% - Accent4 7 4 3 4" xfId="4354" xr:uid="{00000000-0005-0000-0000-000075040000}"/>
    <cellStyle name="20% - Accent4 7 4 4" xfId="4355" xr:uid="{00000000-0005-0000-0000-000076040000}"/>
    <cellStyle name="20% - Accent4 7 4 4 2" xfId="4356" xr:uid="{00000000-0005-0000-0000-000077040000}"/>
    <cellStyle name="20% - Accent4 7 4 5" xfId="4357" xr:uid="{00000000-0005-0000-0000-000078040000}"/>
    <cellStyle name="20% - Accent4 7 4 5 2" xfId="4358" xr:uid="{00000000-0005-0000-0000-000079040000}"/>
    <cellStyle name="20% - Accent4 7 4 6" xfId="4359" xr:uid="{00000000-0005-0000-0000-00007A040000}"/>
    <cellStyle name="20% - Accent4 7 4 6 2" xfId="4360" xr:uid="{00000000-0005-0000-0000-00007B040000}"/>
    <cellStyle name="20% - Accent4 7 4 7" xfId="4361" xr:uid="{00000000-0005-0000-0000-00007C040000}"/>
    <cellStyle name="20% - Accent4 7 4 8" xfId="4362" xr:uid="{00000000-0005-0000-0000-00007D040000}"/>
    <cellStyle name="20% - Accent4 7 4 9" xfId="4363" xr:uid="{00000000-0005-0000-0000-00007E040000}"/>
    <cellStyle name="20% - Accent4 7 5" xfId="4364" xr:uid="{00000000-0005-0000-0000-00007F040000}"/>
    <cellStyle name="20% - Accent4 7 5 2" xfId="4365" xr:uid="{00000000-0005-0000-0000-000080040000}"/>
    <cellStyle name="20% - Accent4 7 5 2 2" xfId="4366" xr:uid="{00000000-0005-0000-0000-000081040000}"/>
    <cellStyle name="20% - Accent4 7 5 2 3" xfId="4367" xr:uid="{00000000-0005-0000-0000-000082040000}"/>
    <cellStyle name="20% - Accent4 7 5 3" xfId="4368" xr:uid="{00000000-0005-0000-0000-000083040000}"/>
    <cellStyle name="20% - Accent4 7 5 3 2" xfId="4369" xr:uid="{00000000-0005-0000-0000-000084040000}"/>
    <cellStyle name="20% - Accent4 7 5 4" xfId="4370" xr:uid="{00000000-0005-0000-0000-000085040000}"/>
    <cellStyle name="20% - Accent4 7 5 5" xfId="4371" xr:uid="{00000000-0005-0000-0000-000086040000}"/>
    <cellStyle name="20% - Accent4 7 5 6" xfId="4372" xr:uid="{00000000-0005-0000-0000-000087040000}"/>
    <cellStyle name="20% - Accent4 7 5 7" xfId="4373" xr:uid="{00000000-0005-0000-0000-000088040000}"/>
    <cellStyle name="20% - Accent4 7 5 8" xfId="4374" xr:uid="{00000000-0005-0000-0000-000089040000}"/>
    <cellStyle name="20% - Accent4 7 6" xfId="4375" xr:uid="{00000000-0005-0000-0000-00008A040000}"/>
    <cellStyle name="20% - Accent4 7 6 2" xfId="4376" xr:uid="{00000000-0005-0000-0000-00008B040000}"/>
    <cellStyle name="20% - Accent4 7 6 2 2" xfId="4377" xr:uid="{00000000-0005-0000-0000-00008C040000}"/>
    <cellStyle name="20% - Accent4 7 6 3" xfId="4378" xr:uid="{00000000-0005-0000-0000-00008D040000}"/>
    <cellStyle name="20% - Accent4 7 6 4" xfId="4379" xr:uid="{00000000-0005-0000-0000-00008E040000}"/>
    <cellStyle name="20% - Accent4 7 7" xfId="4380" xr:uid="{00000000-0005-0000-0000-00008F040000}"/>
    <cellStyle name="20% - Accent4 7 7 2" xfId="4381" xr:uid="{00000000-0005-0000-0000-000090040000}"/>
    <cellStyle name="20% - Accent4 7 8" xfId="4382" xr:uid="{00000000-0005-0000-0000-000091040000}"/>
    <cellStyle name="20% - Accent4 7 8 2" xfId="4383" xr:uid="{00000000-0005-0000-0000-000092040000}"/>
    <cellStyle name="20% - Accent4 7 9" xfId="4384" xr:uid="{00000000-0005-0000-0000-000093040000}"/>
    <cellStyle name="20% - Accent4 7 9 2" xfId="4385" xr:uid="{00000000-0005-0000-0000-000094040000}"/>
    <cellStyle name="20% - Accent4 8" xfId="4386" xr:uid="{00000000-0005-0000-0000-000095040000}"/>
    <cellStyle name="20% - Accent4 9" xfId="4387" xr:uid="{00000000-0005-0000-0000-000096040000}"/>
    <cellStyle name="20% - Accent4 9 2" xfId="4388" xr:uid="{00000000-0005-0000-0000-000097040000}"/>
    <cellStyle name="20% - Accent4 9 3" xfId="4389" xr:uid="{00000000-0005-0000-0000-000098040000}"/>
    <cellStyle name="20% - Accent5 10" xfId="4390" xr:uid="{00000000-0005-0000-0000-000099040000}"/>
    <cellStyle name="20% - Accent5 11" xfId="4391" xr:uid="{00000000-0005-0000-0000-00009A040000}"/>
    <cellStyle name="20% - Accent5 2" xfId="2999" xr:uid="{00000000-0005-0000-0000-00009B040000}"/>
    <cellStyle name="20% - Accent5 2 2" xfId="4392" xr:uid="{00000000-0005-0000-0000-00009C040000}"/>
    <cellStyle name="20% - Accent5 2 2 2" xfId="4393" xr:uid="{00000000-0005-0000-0000-00009D040000}"/>
    <cellStyle name="20% - Accent5 2 3" xfId="4394" xr:uid="{00000000-0005-0000-0000-00009E040000}"/>
    <cellStyle name="20% - Accent5 2 4" xfId="4395" xr:uid="{00000000-0005-0000-0000-00009F040000}"/>
    <cellStyle name="20% - Accent5 2 5" xfId="4396" xr:uid="{00000000-0005-0000-0000-0000A0040000}"/>
    <cellStyle name="20% - Accent5 2 6" xfId="4397" xr:uid="{00000000-0005-0000-0000-0000A1040000}"/>
    <cellStyle name="20% - Accent5 2 7" xfId="4398" xr:uid="{00000000-0005-0000-0000-0000A2040000}"/>
    <cellStyle name="20% - Accent5 3" xfId="3000" xr:uid="{00000000-0005-0000-0000-0000A3040000}"/>
    <cellStyle name="20% - Accent5 3 2" xfId="4399" xr:uid="{00000000-0005-0000-0000-0000A4040000}"/>
    <cellStyle name="20% - Accent5 3 2 2" xfId="4400" xr:uid="{00000000-0005-0000-0000-0000A5040000}"/>
    <cellStyle name="20% - Accent5 3 3" xfId="4401" xr:uid="{00000000-0005-0000-0000-0000A6040000}"/>
    <cellStyle name="20% - Accent5 3 4" xfId="4402" xr:uid="{00000000-0005-0000-0000-0000A7040000}"/>
    <cellStyle name="20% - Accent5 4" xfId="3186" xr:uid="{00000000-0005-0000-0000-0000A8040000}"/>
    <cellStyle name="20% - Accent5 4 2" xfId="4403" xr:uid="{00000000-0005-0000-0000-0000A9040000}"/>
    <cellStyle name="20% - Accent5 4 3" xfId="4404" xr:uid="{00000000-0005-0000-0000-0000AA040000}"/>
    <cellStyle name="20% - Accent5 4 4" xfId="4405" xr:uid="{00000000-0005-0000-0000-0000AB040000}"/>
    <cellStyle name="20% - Accent5 5" xfId="4406" xr:uid="{00000000-0005-0000-0000-0000AC040000}"/>
    <cellStyle name="20% - Accent5 5 2" xfId="4407" xr:uid="{00000000-0005-0000-0000-0000AD040000}"/>
    <cellStyle name="20% - Accent5 6" xfId="4408" xr:uid="{00000000-0005-0000-0000-0000AE040000}"/>
    <cellStyle name="20% - Accent5 6 2" xfId="4409" xr:uid="{00000000-0005-0000-0000-0000AF040000}"/>
    <cellStyle name="20% - Accent5 7" xfId="4410" xr:uid="{00000000-0005-0000-0000-0000B0040000}"/>
    <cellStyle name="20% - Accent5 7 10" xfId="4411" xr:uid="{00000000-0005-0000-0000-0000B1040000}"/>
    <cellStyle name="20% - Accent5 7 11" xfId="4412" xr:uid="{00000000-0005-0000-0000-0000B2040000}"/>
    <cellStyle name="20% - Accent5 7 12" xfId="4413" xr:uid="{00000000-0005-0000-0000-0000B3040000}"/>
    <cellStyle name="20% - Accent5 7 13" xfId="4414" xr:uid="{00000000-0005-0000-0000-0000B4040000}"/>
    <cellStyle name="20% - Accent5 7 14" xfId="4415" xr:uid="{00000000-0005-0000-0000-0000B5040000}"/>
    <cellStyle name="20% - Accent5 7 2" xfId="4416" xr:uid="{00000000-0005-0000-0000-0000B6040000}"/>
    <cellStyle name="20% - Accent5 7 2 10" xfId="4417" xr:uid="{00000000-0005-0000-0000-0000B7040000}"/>
    <cellStyle name="20% - Accent5 7 2 11" xfId="4418" xr:uid="{00000000-0005-0000-0000-0000B8040000}"/>
    <cellStyle name="20% - Accent5 7 2 12" xfId="4419" xr:uid="{00000000-0005-0000-0000-0000B9040000}"/>
    <cellStyle name="20% - Accent5 7 2 13" xfId="4420" xr:uid="{00000000-0005-0000-0000-0000BA040000}"/>
    <cellStyle name="20% - Accent5 7 2 2" xfId="4421" xr:uid="{00000000-0005-0000-0000-0000BB040000}"/>
    <cellStyle name="20% - Accent5 7 2 2 10" xfId="4422" xr:uid="{00000000-0005-0000-0000-0000BC040000}"/>
    <cellStyle name="20% - Accent5 7 2 2 11" xfId="4423" xr:uid="{00000000-0005-0000-0000-0000BD040000}"/>
    <cellStyle name="20% - Accent5 7 2 2 12" xfId="4424" xr:uid="{00000000-0005-0000-0000-0000BE040000}"/>
    <cellStyle name="20% - Accent5 7 2 2 2" xfId="4425" xr:uid="{00000000-0005-0000-0000-0000BF040000}"/>
    <cellStyle name="20% - Accent5 7 2 2 2 10" xfId="4426" xr:uid="{00000000-0005-0000-0000-0000C0040000}"/>
    <cellStyle name="20% - Accent5 7 2 2 2 11" xfId="4427" xr:uid="{00000000-0005-0000-0000-0000C1040000}"/>
    <cellStyle name="20% - Accent5 7 2 2 2 2" xfId="4428" xr:uid="{00000000-0005-0000-0000-0000C2040000}"/>
    <cellStyle name="20% - Accent5 7 2 2 2 2 2" xfId="4429" xr:uid="{00000000-0005-0000-0000-0000C3040000}"/>
    <cellStyle name="20% - Accent5 7 2 2 2 2 2 2" xfId="4430" xr:uid="{00000000-0005-0000-0000-0000C4040000}"/>
    <cellStyle name="20% - Accent5 7 2 2 2 2 2 3" xfId="4431" xr:uid="{00000000-0005-0000-0000-0000C5040000}"/>
    <cellStyle name="20% - Accent5 7 2 2 2 2 3" xfId="4432" xr:uid="{00000000-0005-0000-0000-0000C6040000}"/>
    <cellStyle name="20% - Accent5 7 2 2 2 2 3 2" xfId="4433" xr:uid="{00000000-0005-0000-0000-0000C7040000}"/>
    <cellStyle name="20% - Accent5 7 2 2 2 2 4" xfId="4434" xr:uid="{00000000-0005-0000-0000-0000C8040000}"/>
    <cellStyle name="20% - Accent5 7 2 2 2 2 5" xfId="4435" xr:uid="{00000000-0005-0000-0000-0000C9040000}"/>
    <cellStyle name="20% - Accent5 7 2 2 2 2 6" xfId="4436" xr:uid="{00000000-0005-0000-0000-0000CA040000}"/>
    <cellStyle name="20% - Accent5 7 2 2 2 2 7" xfId="4437" xr:uid="{00000000-0005-0000-0000-0000CB040000}"/>
    <cellStyle name="20% - Accent5 7 2 2 2 2 8" xfId="4438" xr:uid="{00000000-0005-0000-0000-0000CC040000}"/>
    <cellStyle name="20% - Accent5 7 2 2 2 3" xfId="4439" xr:uid="{00000000-0005-0000-0000-0000CD040000}"/>
    <cellStyle name="20% - Accent5 7 2 2 2 3 2" xfId="4440" xr:uid="{00000000-0005-0000-0000-0000CE040000}"/>
    <cellStyle name="20% - Accent5 7 2 2 2 3 2 2" xfId="4441" xr:uid="{00000000-0005-0000-0000-0000CF040000}"/>
    <cellStyle name="20% - Accent5 7 2 2 2 3 3" xfId="4442" xr:uid="{00000000-0005-0000-0000-0000D0040000}"/>
    <cellStyle name="20% - Accent5 7 2 2 2 3 4" xfId="4443" xr:uid="{00000000-0005-0000-0000-0000D1040000}"/>
    <cellStyle name="20% - Accent5 7 2 2 2 4" xfId="4444" xr:uid="{00000000-0005-0000-0000-0000D2040000}"/>
    <cellStyle name="20% - Accent5 7 2 2 2 4 2" xfId="4445" xr:uid="{00000000-0005-0000-0000-0000D3040000}"/>
    <cellStyle name="20% - Accent5 7 2 2 2 5" xfId="4446" xr:uid="{00000000-0005-0000-0000-0000D4040000}"/>
    <cellStyle name="20% - Accent5 7 2 2 2 5 2" xfId="4447" xr:uid="{00000000-0005-0000-0000-0000D5040000}"/>
    <cellStyle name="20% - Accent5 7 2 2 2 6" xfId="4448" xr:uid="{00000000-0005-0000-0000-0000D6040000}"/>
    <cellStyle name="20% - Accent5 7 2 2 2 6 2" xfId="4449" xr:uid="{00000000-0005-0000-0000-0000D7040000}"/>
    <cellStyle name="20% - Accent5 7 2 2 2 7" xfId="4450" xr:uid="{00000000-0005-0000-0000-0000D8040000}"/>
    <cellStyle name="20% - Accent5 7 2 2 2 8" xfId="4451" xr:uid="{00000000-0005-0000-0000-0000D9040000}"/>
    <cellStyle name="20% - Accent5 7 2 2 2 9" xfId="4452" xr:uid="{00000000-0005-0000-0000-0000DA040000}"/>
    <cellStyle name="20% - Accent5 7 2 2 3" xfId="4453" xr:uid="{00000000-0005-0000-0000-0000DB040000}"/>
    <cellStyle name="20% - Accent5 7 2 2 3 2" xfId="4454" xr:uid="{00000000-0005-0000-0000-0000DC040000}"/>
    <cellStyle name="20% - Accent5 7 2 2 3 2 2" xfId="4455" xr:uid="{00000000-0005-0000-0000-0000DD040000}"/>
    <cellStyle name="20% - Accent5 7 2 2 3 2 3" xfId="4456" xr:uid="{00000000-0005-0000-0000-0000DE040000}"/>
    <cellStyle name="20% - Accent5 7 2 2 3 3" xfId="4457" xr:uid="{00000000-0005-0000-0000-0000DF040000}"/>
    <cellStyle name="20% - Accent5 7 2 2 3 3 2" xfId="4458" xr:uid="{00000000-0005-0000-0000-0000E0040000}"/>
    <cellStyle name="20% - Accent5 7 2 2 3 4" xfId="4459" xr:uid="{00000000-0005-0000-0000-0000E1040000}"/>
    <cellStyle name="20% - Accent5 7 2 2 3 5" xfId="4460" xr:uid="{00000000-0005-0000-0000-0000E2040000}"/>
    <cellStyle name="20% - Accent5 7 2 2 3 6" xfId="4461" xr:uid="{00000000-0005-0000-0000-0000E3040000}"/>
    <cellStyle name="20% - Accent5 7 2 2 3 7" xfId="4462" xr:uid="{00000000-0005-0000-0000-0000E4040000}"/>
    <cellStyle name="20% - Accent5 7 2 2 3 8" xfId="4463" xr:uid="{00000000-0005-0000-0000-0000E5040000}"/>
    <cellStyle name="20% - Accent5 7 2 2 4" xfId="4464" xr:uid="{00000000-0005-0000-0000-0000E6040000}"/>
    <cellStyle name="20% - Accent5 7 2 2 4 2" xfId="4465" xr:uid="{00000000-0005-0000-0000-0000E7040000}"/>
    <cellStyle name="20% - Accent5 7 2 2 4 2 2" xfId="4466" xr:uid="{00000000-0005-0000-0000-0000E8040000}"/>
    <cellStyle name="20% - Accent5 7 2 2 4 3" xfId="4467" xr:uid="{00000000-0005-0000-0000-0000E9040000}"/>
    <cellStyle name="20% - Accent5 7 2 2 4 4" xfId="4468" xr:uid="{00000000-0005-0000-0000-0000EA040000}"/>
    <cellStyle name="20% - Accent5 7 2 2 5" xfId="4469" xr:uid="{00000000-0005-0000-0000-0000EB040000}"/>
    <cellStyle name="20% - Accent5 7 2 2 5 2" xfId="4470" xr:uid="{00000000-0005-0000-0000-0000EC040000}"/>
    <cellStyle name="20% - Accent5 7 2 2 6" xfId="4471" xr:uid="{00000000-0005-0000-0000-0000ED040000}"/>
    <cellStyle name="20% - Accent5 7 2 2 6 2" xfId="4472" xr:uid="{00000000-0005-0000-0000-0000EE040000}"/>
    <cellStyle name="20% - Accent5 7 2 2 7" xfId="4473" xr:uid="{00000000-0005-0000-0000-0000EF040000}"/>
    <cellStyle name="20% - Accent5 7 2 2 7 2" xfId="4474" xr:uid="{00000000-0005-0000-0000-0000F0040000}"/>
    <cellStyle name="20% - Accent5 7 2 2 8" xfId="4475" xr:uid="{00000000-0005-0000-0000-0000F1040000}"/>
    <cellStyle name="20% - Accent5 7 2 2 9" xfId="4476" xr:uid="{00000000-0005-0000-0000-0000F2040000}"/>
    <cellStyle name="20% - Accent5 7 2 3" xfId="4477" xr:uid="{00000000-0005-0000-0000-0000F3040000}"/>
    <cellStyle name="20% - Accent5 7 2 3 10" xfId="4478" xr:uid="{00000000-0005-0000-0000-0000F4040000}"/>
    <cellStyle name="20% - Accent5 7 2 3 11" xfId="4479" xr:uid="{00000000-0005-0000-0000-0000F5040000}"/>
    <cellStyle name="20% - Accent5 7 2 3 2" xfId="4480" xr:uid="{00000000-0005-0000-0000-0000F6040000}"/>
    <cellStyle name="20% - Accent5 7 2 3 2 2" xfId="4481" xr:uid="{00000000-0005-0000-0000-0000F7040000}"/>
    <cellStyle name="20% - Accent5 7 2 3 2 2 2" xfId="4482" xr:uid="{00000000-0005-0000-0000-0000F8040000}"/>
    <cellStyle name="20% - Accent5 7 2 3 2 2 3" xfId="4483" xr:uid="{00000000-0005-0000-0000-0000F9040000}"/>
    <cellStyle name="20% - Accent5 7 2 3 2 3" xfId="4484" xr:uid="{00000000-0005-0000-0000-0000FA040000}"/>
    <cellStyle name="20% - Accent5 7 2 3 2 3 2" xfId="4485" xr:uid="{00000000-0005-0000-0000-0000FB040000}"/>
    <cellStyle name="20% - Accent5 7 2 3 2 4" xfId="4486" xr:uid="{00000000-0005-0000-0000-0000FC040000}"/>
    <cellStyle name="20% - Accent5 7 2 3 2 5" xfId="4487" xr:uid="{00000000-0005-0000-0000-0000FD040000}"/>
    <cellStyle name="20% - Accent5 7 2 3 2 6" xfId="4488" xr:uid="{00000000-0005-0000-0000-0000FE040000}"/>
    <cellStyle name="20% - Accent5 7 2 3 2 7" xfId="4489" xr:uid="{00000000-0005-0000-0000-0000FF040000}"/>
    <cellStyle name="20% - Accent5 7 2 3 2 8" xfId="4490" xr:uid="{00000000-0005-0000-0000-000000050000}"/>
    <cellStyle name="20% - Accent5 7 2 3 3" xfId="4491" xr:uid="{00000000-0005-0000-0000-000001050000}"/>
    <cellStyle name="20% - Accent5 7 2 3 3 2" xfId="4492" xr:uid="{00000000-0005-0000-0000-000002050000}"/>
    <cellStyle name="20% - Accent5 7 2 3 3 2 2" xfId="4493" xr:uid="{00000000-0005-0000-0000-000003050000}"/>
    <cellStyle name="20% - Accent5 7 2 3 3 3" xfId="4494" xr:uid="{00000000-0005-0000-0000-000004050000}"/>
    <cellStyle name="20% - Accent5 7 2 3 3 4" xfId="4495" xr:uid="{00000000-0005-0000-0000-000005050000}"/>
    <cellStyle name="20% - Accent5 7 2 3 4" xfId="4496" xr:uid="{00000000-0005-0000-0000-000006050000}"/>
    <cellStyle name="20% - Accent5 7 2 3 4 2" xfId="4497" xr:uid="{00000000-0005-0000-0000-000007050000}"/>
    <cellStyle name="20% - Accent5 7 2 3 5" xfId="4498" xr:uid="{00000000-0005-0000-0000-000008050000}"/>
    <cellStyle name="20% - Accent5 7 2 3 5 2" xfId="4499" xr:uid="{00000000-0005-0000-0000-000009050000}"/>
    <cellStyle name="20% - Accent5 7 2 3 6" xfId="4500" xr:uid="{00000000-0005-0000-0000-00000A050000}"/>
    <cellStyle name="20% - Accent5 7 2 3 6 2" xfId="4501" xr:uid="{00000000-0005-0000-0000-00000B050000}"/>
    <cellStyle name="20% - Accent5 7 2 3 7" xfId="4502" xr:uid="{00000000-0005-0000-0000-00000C050000}"/>
    <cellStyle name="20% - Accent5 7 2 3 8" xfId="4503" xr:uid="{00000000-0005-0000-0000-00000D050000}"/>
    <cellStyle name="20% - Accent5 7 2 3 9" xfId="4504" xr:uid="{00000000-0005-0000-0000-00000E050000}"/>
    <cellStyle name="20% - Accent5 7 2 4" xfId="4505" xr:uid="{00000000-0005-0000-0000-00000F050000}"/>
    <cellStyle name="20% - Accent5 7 2 4 2" xfId="4506" xr:uid="{00000000-0005-0000-0000-000010050000}"/>
    <cellStyle name="20% - Accent5 7 2 4 2 2" xfId="4507" xr:uid="{00000000-0005-0000-0000-000011050000}"/>
    <cellStyle name="20% - Accent5 7 2 4 2 3" xfId="4508" xr:uid="{00000000-0005-0000-0000-000012050000}"/>
    <cellStyle name="20% - Accent5 7 2 4 3" xfId="4509" xr:uid="{00000000-0005-0000-0000-000013050000}"/>
    <cellStyle name="20% - Accent5 7 2 4 3 2" xfId="4510" xr:uid="{00000000-0005-0000-0000-000014050000}"/>
    <cellStyle name="20% - Accent5 7 2 4 4" xfId="4511" xr:uid="{00000000-0005-0000-0000-000015050000}"/>
    <cellStyle name="20% - Accent5 7 2 4 5" xfId="4512" xr:uid="{00000000-0005-0000-0000-000016050000}"/>
    <cellStyle name="20% - Accent5 7 2 4 6" xfId="4513" xr:uid="{00000000-0005-0000-0000-000017050000}"/>
    <cellStyle name="20% - Accent5 7 2 4 7" xfId="4514" xr:uid="{00000000-0005-0000-0000-000018050000}"/>
    <cellStyle name="20% - Accent5 7 2 4 8" xfId="4515" xr:uid="{00000000-0005-0000-0000-000019050000}"/>
    <cellStyle name="20% - Accent5 7 2 5" xfId="4516" xr:uid="{00000000-0005-0000-0000-00001A050000}"/>
    <cellStyle name="20% - Accent5 7 2 5 2" xfId="4517" xr:uid="{00000000-0005-0000-0000-00001B050000}"/>
    <cellStyle name="20% - Accent5 7 2 5 2 2" xfId="4518" xr:uid="{00000000-0005-0000-0000-00001C050000}"/>
    <cellStyle name="20% - Accent5 7 2 5 3" xfId="4519" xr:uid="{00000000-0005-0000-0000-00001D050000}"/>
    <cellStyle name="20% - Accent5 7 2 5 4" xfId="4520" xr:uid="{00000000-0005-0000-0000-00001E050000}"/>
    <cellStyle name="20% - Accent5 7 2 6" xfId="4521" xr:uid="{00000000-0005-0000-0000-00001F050000}"/>
    <cellStyle name="20% - Accent5 7 2 6 2" xfId="4522" xr:uid="{00000000-0005-0000-0000-000020050000}"/>
    <cellStyle name="20% - Accent5 7 2 7" xfId="4523" xr:uid="{00000000-0005-0000-0000-000021050000}"/>
    <cellStyle name="20% - Accent5 7 2 7 2" xfId="4524" xr:uid="{00000000-0005-0000-0000-000022050000}"/>
    <cellStyle name="20% - Accent5 7 2 8" xfId="4525" xr:uid="{00000000-0005-0000-0000-000023050000}"/>
    <cellStyle name="20% - Accent5 7 2 8 2" xfId="4526" xr:uid="{00000000-0005-0000-0000-000024050000}"/>
    <cellStyle name="20% - Accent5 7 2 9" xfId="4527" xr:uid="{00000000-0005-0000-0000-000025050000}"/>
    <cellStyle name="20% - Accent5 7 3" xfId="4528" xr:uid="{00000000-0005-0000-0000-000026050000}"/>
    <cellStyle name="20% - Accent5 7 3 10" xfId="4529" xr:uid="{00000000-0005-0000-0000-000027050000}"/>
    <cellStyle name="20% - Accent5 7 3 11" xfId="4530" xr:uid="{00000000-0005-0000-0000-000028050000}"/>
    <cellStyle name="20% - Accent5 7 3 12" xfId="4531" xr:uid="{00000000-0005-0000-0000-000029050000}"/>
    <cellStyle name="20% - Accent5 7 3 2" xfId="4532" xr:uid="{00000000-0005-0000-0000-00002A050000}"/>
    <cellStyle name="20% - Accent5 7 3 2 10" xfId="4533" xr:uid="{00000000-0005-0000-0000-00002B050000}"/>
    <cellStyle name="20% - Accent5 7 3 2 11" xfId="4534" xr:uid="{00000000-0005-0000-0000-00002C050000}"/>
    <cellStyle name="20% - Accent5 7 3 2 2" xfId="4535" xr:uid="{00000000-0005-0000-0000-00002D050000}"/>
    <cellStyle name="20% - Accent5 7 3 2 2 2" xfId="4536" xr:uid="{00000000-0005-0000-0000-00002E050000}"/>
    <cellStyle name="20% - Accent5 7 3 2 2 2 2" xfId="4537" xr:uid="{00000000-0005-0000-0000-00002F050000}"/>
    <cellStyle name="20% - Accent5 7 3 2 2 2 3" xfId="4538" xr:uid="{00000000-0005-0000-0000-000030050000}"/>
    <cellStyle name="20% - Accent5 7 3 2 2 3" xfId="4539" xr:uid="{00000000-0005-0000-0000-000031050000}"/>
    <cellStyle name="20% - Accent5 7 3 2 2 3 2" xfId="4540" xr:uid="{00000000-0005-0000-0000-000032050000}"/>
    <cellStyle name="20% - Accent5 7 3 2 2 4" xfId="4541" xr:uid="{00000000-0005-0000-0000-000033050000}"/>
    <cellStyle name="20% - Accent5 7 3 2 2 5" xfId="4542" xr:uid="{00000000-0005-0000-0000-000034050000}"/>
    <cellStyle name="20% - Accent5 7 3 2 2 6" xfId="4543" xr:uid="{00000000-0005-0000-0000-000035050000}"/>
    <cellStyle name="20% - Accent5 7 3 2 2 7" xfId="4544" xr:uid="{00000000-0005-0000-0000-000036050000}"/>
    <cellStyle name="20% - Accent5 7 3 2 2 8" xfId="4545" xr:uid="{00000000-0005-0000-0000-000037050000}"/>
    <cellStyle name="20% - Accent5 7 3 2 3" xfId="4546" xr:uid="{00000000-0005-0000-0000-000038050000}"/>
    <cellStyle name="20% - Accent5 7 3 2 3 2" xfId="4547" xr:uid="{00000000-0005-0000-0000-000039050000}"/>
    <cellStyle name="20% - Accent5 7 3 2 3 2 2" xfId="4548" xr:uid="{00000000-0005-0000-0000-00003A050000}"/>
    <cellStyle name="20% - Accent5 7 3 2 3 3" xfId="4549" xr:uid="{00000000-0005-0000-0000-00003B050000}"/>
    <cellStyle name="20% - Accent5 7 3 2 3 4" xfId="4550" xr:uid="{00000000-0005-0000-0000-00003C050000}"/>
    <cellStyle name="20% - Accent5 7 3 2 4" xfId="4551" xr:uid="{00000000-0005-0000-0000-00003D050000}"/>
    <cellStyle name="20% - Accent5 7 3 2 4 2" xfId="4552" xr:uid="{00000000-0005-0000-0000-00003E050000}"/>
    <cellStyle name="20% - Accent5 7 3 2 5" xfId="4553" xr:uid="{00000000-0005-0000-0000-00003F050000}"/>
    <cellStyle name="20% - Accent5 7 3 2 5 2" xfId="4554" xr:uid="{00000000-0005-0000-0000-000040050000}"/>
    <cellStyle name="20% - Accent5 7 3 2 6" xfId="4555" xr:uid="{00000000-0005-0000-0000-000041050000}"/>
    <cellStyle name="20% - Accent5 7 3 2 6 2" xfId="4556" xr:uid="{00000000-0005-0000-0000-000042050000}"/>
    <cellStyle name="20% - Accent5 7 3 2 7" xfId="4557" xr:uid="{00000000-0005-0000-0000-000043050000}"/>
    <cellStyle name="20% - Accent5 7 3 2 8" xfId="4558" xr:uid="{00000000-0005-0000-0000-000044050000}"/>
    <cellStyle name="20% - Accent5 7 3 2 9" xfId="4559" xr:uid="{00000000-0005-0000-0000-000045050000}"/>
    <cellStyle name="20% - Accent5 7 3 3" xfId="4560" xr:uid="{00000000-0005-0000-0000-000046050000}"/>
    <cellStyle name="20% - Accent5 7 3 3 2" xfId="4561" xr:uid="{00000000-0005-0000-0000-000047050000}"/>
    <cellStyle name="20% - Accent5 7 3 3 2 2" xfId="4562" xr:uid="{00000000-0005-0000-0000-000048050000}"/>
    <cellStyle name="20% - Accent5 7 3 3 2 3" xfId="4563" xr:uid="{00000000-0005-0000-0000-000049050000}"/>
    <cellStyle name="20% - Accent5 7 3 3 3" xfId="4564" xr:uid="{00000000-0005-0000-0000-00004A050000}"/>
    <cellStyle name="20% - Accent5 7 3 3 3 2" xfId="4565" xr:uid="{00000000-0005-0000-0000-00004B050000}"/>
    <cellStyle name="20% - Accent5 7 3 3 4" xfId="4566" xr:uid="{00000000-0005-0000-0000-00004C050000}"/>
    <cellStyle name="20% - Accent5 7 3 3 5" xfId="4567" xr:uid="{00000000-0005-0000-0000-00004D050000}"/>
    <cellStyle name="20% - Accent5 7 3 3 6" xfId="4568" xr:uid="{00000000-0005-0000-0000-00004E050000}"/>
    <cellStyle name="20% - Accent5 7 3 3 7" xfId="4569" xr:uid="{00000000-0005-0000-0000-00004F050000}"/>
    <cellStyle name="20% - Accent5 7 3 3 8" xfId="4570" xr:uid="{00000000-0005-0000-0000-000050050000}"/>
    <cellStyle name="20% - Accent5 7 3 4" xfId="4571" xr:uid="{00000000-0005-0000-0000-000051050000}"/>
    <cellStyle name="20% - Accent5 7 3 4 2" xfId="4572" xr:uid="{00000000-0005-0000-0000-000052050000}"/>
    <cellStyle name="20% - Accent5 7 3 4 2 2" xfId="4573" xr:uid="{00000000-0005-0000-0000-000053050000}"/>
    <cellStyle name="20% - Accent5 7 3 4 3" xfId="4574" xr:uid="{00000000-0005-0000-0000-000054050000}"/>
    <cellStyle name="20% - Accent5 7 3 4 4" xfId="4575" xr:uid="{00000000-0005-0000-0000-000055050000}"/>
    <cellStyle name="20% - Accent5 7 3 5" xfId="4576" xr:uid="{00000000-0005-0000-0000-000056050000}"/>
    <cellStyle name="20% - Accent5 7 3 5 2" xfId="4577" xr:uid="{00000000-0005-0000-0000-000057050000}"/>
    <cellStyle name="20% - Accent5 7 3 6" xfId="4578" xr:uid="{00000000-0005-0000-0000-000058050000}"/>
    <cellStyle name="20% - Accent5 7 3 6 2" xfId="4579" xr:uid="{00000000-0005-0000-0000-000059050000}"/>
    <cellStyle name="20% - Accent5 7 3 7" xfId="4580" xr:uid="{00000000-0005-0000-0000-00005A050000}"/>
    <cellStyle name="20% - Accent5 7 3 7 2" xfId="4581" xr:uid="{00000000-0005-0000-0000-00005B050000}"/>
    <cellStyle name="20% - Accent5 7 3 8" xfId="4582" xr:uid="{00000000-0005-0000-0000-00005C050000}"/>
    <cellStyle name="20% - Accent5 7 3 9" xfId="4583" xr:uid="{00000000-0005-0000-0000-00005D050000}"/>
    <cellStyle name="20% - Accent5 7 4" xfId="4584" xr:uid="{00000000-0005-0000-0000-00005E050000}"/>
    <cellStyle name="20% - Accent5 7 4 10" xfId="4585" xr:uid="{00000000-0005-0000-0000-00005F050000}"/>
    <cellStyle name="20% - Accent5 7 4 11" xfId="4586" xr:uid="{00000000-0005-0000-0000-000060050000}"/>
    <cellStyle name="20% - Accent5 7 4 2" xfId="4587" xr:uid="{00000000-0005-0000-0000-000061050000}"/>
    <cellStyle name="20% - Accent5 7 4 2 2" xfId="4588" xr:uid="{00000000-0005-0000-0000-000062050000}"/>
    <cellStyle name="20% - Accent5 7 4 2 2 2" xfId="4589" xr:uid="{00000000-0005-0000-0000-000063050000}"/>
    <cellStyle name="20% - Accent5 7 4 2 2 3" xfId="4590" xr:uid="{00000000-0005-0000-0000-000064050000}"/>
    <cellStyle name="20% - Accent5 7 4 2 3" xfId="4591" xr:uid="{00000000-0005-0000-0000-000065050000}"/>
    <cellStyle name="20% - Accent5 7 4 2 3 2" xfId="4592" xr:uid="{00000000-0005-0000-0000-000066050000}"/>
    <cellStyle name="20% - Accent5 7 4 2 4" xfId="4593" xr:uid="{00000000-0005-0000-0000-000067050000}"/>
    <cellStyle name="20% - Accent5 7 4 2 5" xfId="4594" xr:uid="{00000000-0005-0000-0000-000068050000}"/>
    <cellStyle name="20% - Accent5 7 4 2 6" xfId="4595" xr:uid="{00000000-0005-0000-0000-000069050000}"/>
    <cellStyle name="20% - Accent5 7 4 2 7" xfId="4596" xr:uid="{00000000-0005-0000-0000-00006A050000}"/>
    <cellStyle name="20% - Accent5 7 4 2 8" xfId="4597" xr:uid="{00000000-0005-0000-0000-00006B050000}"/>
    <cellStyle name="20% - Accent5 7 4 3" xfId="4598" xr:uid="{00000000-0005-0000-0000-00006C050000}"/>
    <cellStyle name="20% - Accent5 7 4 3 2" xfId="4599" xr:uid="{00000000-0005-0000-0000-00006D050000}"/>
    <cellStyle name="20% - Accent5 7 4 3 2 2" xfId="4600" xr:uid="{00000000-0005-0000-0000-00006E050000}"/>
    <cellStyle name="20% - Accent5 7 4 3 3" xfId="4601" xr:uid="{00000000-0005-0000-0000-00006F050000}"/>
    <cellStyle name="20% - Accent5 7 4 3 4" xfId="4602" xr:uid="{00000000-0005-0000-0000-000070050000}"/>
    <cellStyle name="20% - Accent5 7 4 4" xfId="4603" xr:uid="{00000000-0005-0000-0000-000071050000}"/>
    <cellStyle name="20% - Accent5 7 4 4 2" xfId="4604" xr:uid="{00000000-0005-0000-0000-000072050000}"/>
    <cellStyle name="20% - Accent5 7 4 5" xfId="4605" xr:uid="{00000000-0005-0000-0000-000073050000}"/>
    <cellStyle name="20% - Accent5 7 4 5 2" xfId="4606" xr:uid="{00000000-0005-0000-0000-000074050000}"/>
    <cellStyle name="20% - Accent5 7 4 6" xfId="4607" xr:uid="{00000000-0005-0000-0000-000075050000}"/>
    <cellStyle name="20% - Accent5 7 4 6 2" xfId="4608" xr:uid="{00000000-0005-0000-0000-000076050000}"/>
    <cellStyle name="20% - Accent5 7 4 7" xfId="4609" xr:uid="{00000000-0005-0000-0000-000077050000}"/>
    <cellStyle name="20% - Accent5 7 4 8" xfId="4610" xr:uid="{00000000-0005-0000-0000-000078050000}"/>
    <cellStyle name="20% - Accent5 7 4 9" xfId="4611" xr:uid="{00000000-0005-0000-0000-000079050000}"/>
    <cellStyle name="20% - Accent5 7 5" xfId="4612" xr:uid="{00000000-0005-0000-0000-00007A050000}"/>
    <cellStyle name="20% - Accent5 7 5 2" xfId="4613" xr:uid="{00000000-0005-0000-0000-00007B050000}"/>
    <cellStyle name="20% - Accent5 7 5 2 2" xfId="4614" xr:uid="{00000000-0005-0000-0000-00007C050000}"/>
    <cellStyle name="20% - Accent5 7 5 2 3" xfId="4615" xr:uid="{00000000-0005-0000-0000-00007D050000}"/>
    <cellStyle name="20% - Accent5 7 5 3" xfId="4616" xr:uid="{00000000-0005-0000-0000-00007E050000}"/>
    <cellStyle name="20% - Accent5 7 5 3 2" xfId="4617" xr:uid="{00000000-0005-0000-0000-00007F050000}"/>
    <cellStyle name="20% - Accent5 7 5 4" xfId="4618" xr:uid="{00000000-0005-0000-0000-000080050000}"/>
    <cellStyle name="20% - Accent5 7 5 5" xfId="4619" xr:uid="{00000000-0005-0000-0000-000081050000}"/>
    <cellStyle name="20% - Accent5 7 5 6" xfId="4620" xr:uid="{00000000-0005-0000-0000-000082050000}"/>
    <cellStyle name="20% - Accent5 7 5 7" xfId="4621" xr:uid="{00000000-0005-0000-0000-000083050000}"/>
    <cellStyle name="20% - Accent5 7 5 8" xfId="4622" xr:uid="{00000000-0005-0000-0000-000084050000}"/>
    <cellStyle name="20% - Accent5 7 6" xfId="4623" xr:uid="{00000000-0005-0000-0000-000085050000}"/>
    <cellStyle name="20% - Accent5 7 6 2" xfId="4624" xr:uid="{00000000-0005-0000-0000-000086050000}"/>
    <cellStyle name="20% - Accent5 7 6 2 2" xfId="4625" xr:uid="{00000000-0005-0000-0000-000087050000}"/>
    <cellStyle name="20% - Accent5 7 6 3" xfId="4626" xr:uid="{00000000-0005-0000-0000-000088050000}"/>
    <cellStyle name="20% - Accent5 7 6 4" xfId="4627" xr:uid="{00000000-0005-0000-0000-000089050000}"/>
    <cellStyle name="20% - Accent5 7 7" xfId="4628" xr:uid="{00000000-0005-0000-0000-00008A050000}"/>
    <cellStyle name="20% - Accent5 7 7 2" xfId="4629" xr:uid="{00000000-0005-0000-0000-00008B050000}"/>
    <cellStyle name="20% - Accent5 7 8" xfId="4630" xr:uid="{00000000-0005-0000-0000-00008C050000}"/>
    <cellStyle name="20% - Accent5 7 8 2" xfId="4631" xr:uid="{00000000-0005-0000-0000-00008D050000}"/>
    <cellStyle name="20% - Accent5 7 9" xfId="4632" xr:uid="{00000000-0005-0000-0000-00008E050000}"/>
    <cellStyle name="20% - Accent5 7 9 2" xfId="4633" xr:uid="{00000000-0005-0000-0000-00008F050000}"/>
    <cellStyle name="20% - Accent5 8" xfId="4634" xr:uid="{00000000-0005-0000-0000-000090050000}"/>
    <cellStyle name="20% - Accent5 9" xfId="4635" xr:uid="{00000000-0005-0000-0000-000091050000}"/>
    <cellStyle name="20% - Accent5 9 2" xfId="4636" xr:uid="{00000000-0005-0000-0000-000092050000}"/>
    <cellStyle name="20% - Accent5 9 3" xfId="4637" xr:uid="{00000000-0005-0000-0000-000093050000}"/>
    <cellStyle name="20% - Accent6 10" xfId="4638" xr:uid="{00000000-0005-0000-0000-000094050000}"/>
    <cellStyle name="20% - Accent6 11" xfId="4639" xr:uid="{00000000-0005-0000-0000-000095050000}"/>
    <cellStyle name="20% - Accent6 2" xfId="3001" xr:uid="{00000000-0005-0000-0000-000096050000}"/>
    <cellStyle name="20% - Accent6 2 2" xfId="4640" xr:uid="{00000000-0005-0000-0000-000097050000}"/>
    <cellStyle name="20% - Accent6 2 2 2" xfId="4641" xr:uid="{00000000-0005-0000-0000-000098050000}"/>
    <cellStyle name="20% - Accent6 2 3" xfId="4642" xr:uid="{00000000-0005-0000-0000-000099050000}"/>
    <cellStyle name="20% - Accent6 2 4" xfId="4643" xr:uid="{00000000-0005-0000-0000-00009A050000}"/>
    <cellStyle name="20% - Accent6 2 5" xfId="4644" xr:uid="{00000000-0005-0000-0000-00009B050000}"/>
    <cellStyle name="20% - Accent6 2 6" xfId="4645" xr:uid="{00000000-0005-0000-0000-00009C050000}"/>
    <cellStyle name="20% - Accent6 3" xfId="3002" xr:uid="{00000000-0005-0000-0000-00009D050000}"/>
    <cellStyle name="20% - Accent6 3 2" xfId="4646" xr:uid="{00000000-0005-0000-0000-00009E050000}"/>
    <cellStyle name="20% - Accent6 3 2 2" xfId="4647" xr:uid="{00000000-0005-0000-0000-00009F050000}"/>
    <cellStyle name="20% - Accent6 3 3" xfId="4648" xr:uid="{00000000-0005-0000-0000-0000A0050000}"/>
    <cellStyle name="20% - Accent6 3 3 2" xfId="4649" xr:uid="{00000000-0005-0000-0000-0000A1050000}"/>
    <cellStyle name="20% - Accent6 3 4" xfId="4650" xr:uid="{00000000-0005-0000-0000-0000A2050000}"/>
    <cellStyle name="20% - Accent6 4" xfId="3187" xr:uid="{00000000-0005-0000-0000-0000A3050000}"/>
    <cellStyle name="20% - Accent6 4 2" xfId="4651" xr:uid="{00000000-0005-0000-0000-0000A4050000}"/>
    <cellStyle name="20% - Accent6 4 3" xfId="4652" xr:uid="{00000000-0005-0000-0000-0000A5050000}"/>
    <cellStyle name="20% - Accent6 4 4" xfId="4653" xr:uid="{00000000-0005-0000-0000-0000A6050000}"/>
    <cellStyle name="20% - Accent6 5" xfId="4654" xr:uid="{00000000-0005-0000-0000-0000A7050000}"/>
    <cellStyle name="20% - Accent6 5 2" xfId="4655" xr:uid="{00000000-0005-0000-0000-0000A8050000}"/>
    <cellStyle name="20% - Accent6 6" xfId="4656" xr:uid="{00000000-0005-0000-0000-0000A9050000}"/>
    <cellStyle name="20% - Accent6 6 2" xfId="4657" xr:uid="{00000000-0005-0000-0000-0000AA050000}"/>
    <cellStyle name="20% - Accent6 7" xfId="4658" xr:uid="{00000000-0005-0000-0000-0000AB050000}"/>
    <cellStyle name="20% - Accent6 7 10" xfId="4659" xr:uid="{00000000-0005-0000-0000-0000AC050000}"/>
    <cellStyle name="20% - Accent6 7 11" xfId="4660" xr:uid="{00000000-0005-0000-0000-0000AD050000}"/>
    <cellStyle name="20% - Accent6 7 12" xfId="4661" xr:uid="{00000000-0005-0000-0000-0000AE050000}"/>
    <cellStyle name="20% - Accent6 7 13" xfId="4662" xr:uid="{00000000-0005-0000-0000-0000AF050000}"/>
    <cellStyle name="20% - Accent6 7 14" xfId="4663" xr:uid="{00000000-0005-0000-0000-0000B0050000}"/>
    <cellStyle name="20% - Accent6 7 2" xfId="4664" xr:uid="{00000000-0005-0000-0000-0000B1050000}"/>
    <cellStyle name="20% - Accent6 7 2 10" xfId="4665" xr:uid="{00000000-0005-0000-0000-0000B2050000}"/>
    <cellStyle name="20% - Accent6 7 2 11" xfId="4666" xr:uid="{00000000-0005-0000-0000-0000B3050000}"/>
    <cellStyle name="20% - Accent6 7 2 12" xfId="4667" xr:uid="{00000000-0005-0000-0000-0000B4050000}"/>
    <cellStyle name="20% - Accent6 7 2 13" xfId="4668" xr:uid="{00000000-0005-0000-0000-0000B5050000}"/>
    <cellStyle name="20% - Accent6 7 2 2" xfId="4669" xr:uid="{00000000-0005-0000-0000-0000B6050000}"/>
    <cellStyle name="20% - Accent6 7 2 2 10" xfId="4670" xr:uid="{00000000-0005-0000-0000-0000B7050000}"/>
    <cellStyle name="20% - Accent6 7 2 2 11" xfId="4671" xr:uid="{00000000-0005-0000-0000-0000B8050000}"/>
    <cellStyle name="20% - Accent6 7 2 2 12" xfId="4672" xr:uid="{00000000-0005-0000-0000-0000B9050000}"/>
    <cellStyle name="20% - Accent6 7 2 2 2" xfId="4673" xr:uid="{00000000-0005-0000-0000-0000BA050000}"/>
    <cellStyle name="20% - Accent6 7 2 2 2 10" xfId="4674" xr:uid="{00000000-0005-0000-0000-0000BB050000}"/>
    <cellStyle name="20% - Accent6 7 2 2 2 11" xfId="4675" xr:uid="{00000000-0005-0000-0000-0000BC050000}"/>
    <cellStyle name="20% - Accent6 7 2 2 2 2" xfId="4676" xr:uid="{00000000-0005-0000-0000-0000BD050000}"/>
    <cellStyle name="20% - Accent6 7 2 2 2 2 2" xfId="4677" xr:uid="{00000000-0005-0000-0000-0000BE050000}"/>
    <cellStyle name="20% - Accent6 7 2 2 2 2 2 2" xfId="4678" xr:uid="{00000000-0005-0000-0000-0000BF050000}"/>
    <cellStyle name="20% - Accent6 7 2 2 2 2 2 3" xfId="4679" xr:uid="{00000000-0005-0000-0000-0000C0050000}"/>
    <cellStyle name="20% - Accent6 7 2 2 2 2 3" xfId="4680" xr:uid="{00000000-0005-0000-0000-0000C1050000}"/>
    <cellStyle name="20% - Accent6 7 2 2 2 2 3 2" xfId="4681" xr:uid="{00000000-0005-0000-0000-0000C2050000}"/>
    <cellStyle name="20% - Accent6 7 2 2 2 2 4" xfId="4682" xr:uid="{00000000-0005-0000-0000-0000C3050000}"/>
    <cellStyle name="20% - Accent6 7 2 2 2 2 5" xfId="4683" xr:uid="{00000000-0005-0000-0000-0000C4050000}"/>
    <cellStyle name="20% - Accent6 7 2 2 2 2 6" xfId="4684" xr:uid="{00000000-0005-0000-0000-0000C5050000}"/>
    <cellStyle name="20% - Accent6 7 2 2 2 2 7" xfId="4685" xr:uid="{00000000-0005-0000-0000-0000C6050000}"/>
    <cellStyle name="20% - Accent6 7 2 2 2 2 8" xfId="4686" xr:uid="{00000000-0005-0000-0000-0000C7050000}"/>
    <cellStyle name="20% - Accent6 7 2 2 2 3" xfId="4687" xr:uid="{00000000-0005-0000-0000-0000C8050000}"/>
    <cellStyle name="20% - Accent6 7 2 2 2 3 2" xfId="4688" xr:uid="{00000000-0005-0000-0000-0000C9050000}"/>
    <cellStyle name="20% - Accent6 7 2 2 2 3 2 2" xfId="4689" xr:uid="{00000000-0005-0000-0000-0000CA050000}"/>
    <cellStyle name="20% - Accent6 7 2 2 2 3 3" xfId="4690" xr:uid="{00000000-0005-0000-0000-0000CB050000}"/>
    <cellStyle name="20% - Accent6 7 2 2 2 3 4" xfId="4691" xr:uid="{00000000-0005-0000-0000-0000CC050000}"/>
    <cellStyle name="20% - Accent6 7 2 2 2 4" xfId="4692" xr:uid="{00000000-0005-0000-0000-0000CD050000}"/>
    <cellStyle name="20% - Accent6 7 2 2 2 4 2" xfId="4693" xr:uid="{00000000-0005-0000-0000-0000CE050000}"/>
    <cellStyle name="20% - Accent6 7 2 2 2 5" xfId="4694" xr:uid="{00000000-0005-0000-0000-0000CF050000}"/>
    <cellStyle name="20% - Accent6 7 2 2 2 5 2" xfId="4695" xr:uid="{00000000-0005-0000-0000-0000D0050000}"/>
    <cellStyle name="20% - Accent6 7 2 2 2 6" xfId="4696" xr:uid="{00000000-0005-0000-0000-0000D1050000}"/>
    <cellStyle name="20% - Accent6 7 2 2 2 6 2" xfId="4697" xr:uid="{00000000-0005-0000-0000-0000D2050000}"/>
    <cellStyle name="20% - Accent6 7 2 2 2 7" xfId="4698" xr:uid="{00000000-0005-0000-0000-0000D3050000}"/>
    <cellStyle name="20% - Accent6 7 2 2 2 8" xfId="4699" xr:uid="{00000000-0005-0000-0000-0000D4050000}"/>
    <cellStyle name="20% - Accent6 7 2 2 2 9" xfId="4700" xr:uid="{00000000-0005-0000-0000-0000D5050000}"/>
    <cellStyle name="20% - Accent6 7 2 2 3" xfId="4701" xr:uid="{00000000-0005-0000-0000-0000D6050000}"/>
    <cellStyle name="20% - Accent6 7 2 2 3 2" xfId="4702" xr:uid="{00000000-0005-0000-0000-0000D7050000}"/>
    <cellStyle name="20% - Accent6 7 2 2 3 2 2" xfId="4703" xr:uid="{00000000-0005-0000-0000-0000D8050000}"/>
    <cellStyle name="20% - Accent6 7 2 2 3 2 3" xfId="4704" xr:uid="{00000000-0005-0000-0000-0000D9050000}"/>
    <cellStyle name="20% - Accent6 7 2 2 3 3" xfId="4705" xr:uid="{00000000-0005-0000-0000-0000DA050000}"/>
    <cellStyle name="20% - Accent6 7 2 2 3 3 2" xfId="4706" xr:uid="{00000000-0005-0000-0000-0000DB050000}"/>
    <cellStyle name="20% - Accent6 7 2 2 3 4" xfId="4707" xr:uid="{00000000-0005-0000-0000-0000DC050000}"/>
    <cellStyle name="20% - Accent6 7 2 2 3 5" xfId="4708" xr:uid="{00000000-0005-0000-0000-0000DD050000}"/>
    <cellStyle name="20% - Accent6 7 2 2 3 6" xfId="4709" xr:uid="{00000000-0005-0000-0000-0000DE050000}"/>
    <cellStyle name="20% - Accent6 7 2 2 3 7" xfId="4710" xr:uid="{00000000-0005-0000-0000-0000DF050000}"/>
    <cellStyle name="20% - Accent6 7 2 2 3 8" xfId="4711" xr:uid="{00000000-0005-0000-0000-0000E0050000}"/>
    <cellStyle name="20% - Accent6 7 2 2 4" xfId="4712" xr:uid="{00000000-0005-0000-0000-0000E1050000}"/>
    <cellStyle name="20% - Accent6 7 2 2 4 2" xfId="4713" xr:uid="{00000000-0005-0000-0000-0000E2050000}"/>
    <cellStyle name="20% - Accent6 7 2 2 4 2 2" xfId="4714" xr:uid="{00000000-0005-0000-0000-0000E3050000}"/>
    <cellStyle name="20% - Accent6 7 2 2 4 3" xfId="4715" xr:uid="{00000000-0005-0000-0000-0000E4050000}"/>
    <cellStyle name="20% - Accent6 7 2 2 4 4" xfId="4716" xr:uid="{00000000-0005-0000-0000-0000E5050000}"/>
    <cellStyle name="20% - Accent6 7 2 2 5" xfId="4717" xr:uid="{00000000-0005-0000-0000-0000E6050000}"/>
    <cellStyle name="20% - Accent6 7 2 2 5 2" xfId="4718" xr:uid="{00000000-0005-0000-0000-0000E7050000}"/>
    <cellStyle name="20% - Accent6 7 2 2 6" xfId="4719" xr:uid="{00000000-0005-0000-0000-0000E8050000}"/>
    <cellStyle name="20% - Accent6 7 2 2 6 2" xfId="4720" xr:uid="{00000000-0005-0000-0000-0000E9050000}"/>
    <cellStyle name="20% - Accent6 7 2 2 7" xfId="4721" xr:uid="{00000000-0005-0000-0000-0000EA050000}"/>
    <cellStyle name="20% - Accent6 7 2 2 7 2" xfId="4722" xr:uid="{00000000-0005-0000-0000-0000EB050000}"/>
    <cellStyle name="20% - Accent6 7 2 2 8" xfId="4723" xr:uid="{00000000-0005-0000-0000-0000EC050000}"/>
    <cellStyle name="20% - Accent6 7 2 2 9" xfId="4724" xr:uid="{00000000-0005-0000-0000-0000ED050000}"/>
    <cellStyle name="20% - Accent6 7 2 3" xfId="4725" xr:uid="{00000000-0005-0000-0000-0000EE050000}"/>
    <cellStyle name="20% - Accent6 7 2 3 10" xfId="4726" xr:uid="{00000000-0005-0000-0000-0000EF050000}"/>
    <cellStyle name="20% - Accent6 7 2 3 11" xfId="4727" xr:uid="{00000000-0005-0000-0000-0000F0050000}"/>
    <cellStyle name="20% - Accent6 7 2 3 2" xfId="4728" xr:uid="{00000000-0005-0000-0000-0000F1050000}"/>
    <cellStyle name="20% - Accent6 7 2 3 2 2" xfId="4729" xr:uid="{00000000-0005-0000-0000-0000F2050000}"/>
    <cellStyle name="20% - Accent6 7 2 3 2 2 2" xfId="4730" xr:uid="{00000000-0005-0000-0000-0000F3050000}"/>
    <cellStyle name="20% - Accent6 7 2 3 2 2 3" xfId="4731" xr:uid="{00000000-0005-0000-0000-0000F4050000}"/>
    <cellStyle name="20% - Accent6 7 2 3 2 3" xfId="4732" xr:uid="{00000000-0005-0000-0000-0000F5050000}"/>
    <cellStyle name="20% - Accent6 7 2 3 2 3 2" xfId="4733" xr:uid="{00000000-0005-0000-0000-0000F6050000}"/>
    <cellStyle name="20% - Accent6 7 2 3 2 4" xfId="4734" xr:uid="{00000000-0005-0000-0000-0000F7050000}"/>
    <cellStyle name="20% - Accent6 7 2 3 2 5" xfId="4735" xr:uid="{00000000-0005-0000-0000-0000F8050000}"/>
    <cellStyle name="20% - Accent6 7 2 3 2 6" xfId="4736" xr:uid="{00000000-0005-0000-0000-0000F9050000}"/>
    <cellStyle name="20% - Accent6 7 2 3 2 7" xfId="4737" xr:uid="{00000000-0005-0000-0000-0000FA050000}"/>
    <cellStyle name="20% - Accent6 7 2 3 2 8" xfId="4738" xr:uid="{00000000-0005-0000-0000-0000FB050000}"/>
    <cellStyle name="20% - Accent6 7 2 3 3" xfId="4739" xr:uid="{00000000-0005-0000-0000-0000FC050000}"/>
    <cellStyle name="20% - Accent6 7 2 3 3 2" xfId="4740" xr:uid="{00000000-0005-0000-0000-0000FD050000}"/>
    <cellStyle name="20% - Accent6 7 2 3 3 2 2" xfId="4741" xr:uid="{00000000-0005-0000-0000-0000FE050000}"/>
    <cellStyle name="20% - Accent6 7 2 3 3 3" xfId="4742" xr:uid="{00000000-0005-0000-0000-0000FF050000}"/>
    <cellStyle name="20% - Accent6 7 2 3 3 4" xfId="4743" xr:uid="{00000000-0005-0000-0000-000000060000}"/>
    <cellStyle name="20% - Accent6 7 2 3 4" xfId="4744" xr:uid="{00000000-0005-0000-0000-000001060000}"/>
    <cellStyle name="20% - Accent6 7 2 3 4 2" xfId="4745" xr:uid="{00000000-0005-0000-0000-000002060000}"/>
    <cellStyle name="20% - Accent6 7 2 3 5" xfId="4746" xr:uid="{00000000-0005-0000-0000-000003060000}"/>
    <cellStyle name="20% - Accent6 7 2 3 5 2" xfId="4747" xr:uid="{00000000-0005-0000-0000-000004060000}"/>
    <cellStyle name="20% - Accent6 7 2 3 6" xfId="4748" xr:uid="{00000000-0005-0000-0000-000005060000}"/>
    <cellStyle name="20% - Accent6 7 2 3 6 2" xfId="4749" xr:uid="{00000000-0005-0000-0000-000006060000}"/>
    <cellStyle name="20% - Accent6 7 2 3 7" xfId="4750" xr:uid="{00000000-0005-0000-0000-000007060000}"/>
    <cellStyle name="20% - Accent6 7 2 3 8" xfId="4751" xr:uid="{00000000-0005-0000-0000-000008060000}"/>
    <cellStyle name="20% - Accent6 7 2 3 9" xfId="4752" xr:uid="{00000000-0005-0000-0000-000009060000}"/>
    <cellStyle name="20% - Accent6 7 2 4" xfId="4753" xr:uid="{00000000-0005-0000-0000-00000A060000}"/>
    <cellStyle name="20% - Accent6 7 2 4 2" xfId="4754" xr:uid="{00000000-0005-0000-0000-00000B060000}"/>
    <cellStyle name="20% - Accent6 7 2 4 2 2" xfId="4755" xr:uid="{00000000-0005-0000-0000-00000C060000}"/>
    <cellStyle name="20% - Accent6 7 2 4 2 3" xfId="4756" xr:uid="{00000000-0005-0000-0000-00000D060000}"/>
    <cellStyle name="20% - Accent6 7 2 4 3" xfId="4757" xr:uid="{00000000-0005-0000-0000-00000E060000}"/>
    <cellStyle name="20% - Accent6 7 2 4 3 2" xfId="4758" xr:uid="{00000000-0005-0000-0000-00000F060000}"/>
    <cellStyle name="20% - Accent6 7 2 4 4" xfId="4759" xr:uid="{00000000-0005-0000-0000-000010060000}"/>
    <cellStyle name="20% - Accent6 7 2 4 5" xfId="4760" xr:uid="{00000000-0005-0000-0000-000011060000}"/>
    <cellStyle name="20% - Accent6 7 2 4 6" xfId="4761" xr:uid="{00000000-0005-0000-0000-000012060000}"/>
    <cellStyle name="20% - Accent6 7 2 4 7" xfId="4762" xr:uid="{00000000-0005-0000-0000-000013060000}"/>
    <cellStyle name="20% - Accent6 7 2 4 8" xfId="4763" xr:uid="{00000000-0005-0000-0000-000014060000}"/>
    <cellStyle name="20% - Accent6 7 2 5" xfId="4764" xr:uid="{00000000-0005-0000-0000-000015060000}"/>
    <cellStyle name="20% - Accent6 7 2 5 2" xfId="4765" xr:uid="{00000000-0005-0000-0000-000016060000}"/>
    <cellStyle name="20% - Accent6 7 2 5 2 2" xfId="4766" xr:uid="{00000000-0005-0000-0000-000017060000}"/>
    <cellStyle name="20% - Accent6 7 2 5 3" xfId="4767" xr:uid="{00000000-0005-0000-0000-000018060000}"/>
    <cellStyle name="20% - Accent6 7 2 5 4" xfId="4768" xr:uid="{00000000-0005-0000-0000-000019060000}"/>
    <cellStyle name="20% - Accent6 7 2 6" xfId="4769" xr:uid="{00000000-0005-0000-0000-00001A060000}"/>
    <cellStyle name="20% - Accent6 7 2 6 2" xfId="4770" xr:uid="{00000000-0005-0000-0000-00001B060000}"/>
    <cellStyle name="20% - Accent6 7 2 7" xfId="4771" xr:uid="{00000000-0005-0000-0000-00001C060000}"/>
    <cellStyle name="20% - Accent6 7 2 7 2" xfId="4772" xr:uid="{00000000-0005-0000-0000-00001D060000}"/>
    <cellStyle name="20% - Accent6 7 2 8" xfId="4773" xr:uid="{00000000-0005-0000-0000-00001E060000}"/>
    <cellStyle name="20% - Accent6 7 2 8 2" xfId="4774" xr:uid="{00000000-0005-0000-0000-00001F060000}"/>
    <cellStyle name="20% - Accent6 7 2 9" xfId="4775" xr:uid="{00000000-0005-0000-0000-000020060000}"/>
    <cellStyle name="20% - Accent6 7 3" xfId="4776" xr:uid="{00000000-0005-0000-0000-000021060000}"/>
    <cellStyle name="20% - Accent6 7 3 10" xfId="4777" xr:uid="{00000000-0005-0000-0000-000022060000}"/>
    <cellStyle name="20% - Accent6 7 3 11" xfId="4778" xr:uid="{00000000-0005-0000-0000-000023060000}"/>
    <cellStyle name="20% - Accent6 7 3 12" xfId="4779" xr:uid="{00000000-0005-0000-0000-000024060000}"/>
    <cellStyle name="20% - Accent6 7 3 2" xfId="4780" xr:uid="{00000000-0005-0000-0000-000025060000}"/>
    <cellStyle name="20% - Accent6 7 3 2 10" xfId="4781" xr:uid="{00000000-0005-0000-0000-000026060000}"/>
    <cellStyle name="20% - Accent6 7 3 2 11" xfId="4782" xr:uid="{00000000-0005-0000-0000-000027060000}"/>
    <cellStyle name="20% - Accent6 7 3 2 2" xfId="4783" xr:uid="{00000000-0005-0000-0000-000028060000}"/>
    <cellStyle name="20% - Accent6 7 3 2 2 2" xfId="4784" xr:uid="{00000000-0005-0000-0000-000029060000}"/>
    <cellStyle name="20% - Accent6 7 3 2 2 2 2" xfId="4785" xr:uid="{00000000-0005-0000-0000-00002A060000}"/>
    <cellStyle name="20% - Accent6 7 3 2 2 2 3" xfId="4786" xr:uid="{00000000-0005-0000-0000-00002B060000}"/>
    <cellStyle name="20% - Accent6 7 3 2 2 3" xfId="4787" xr:uid="{00000000-0005-0000-0000-00002C060000}"/>
    <cellStyle name="20% - Accent6 7 3 2 2 3 2" xfId="4788" xr:uid="{00000000-0005-0000-0000-00002D060000}"/>
    <cellStyle name="20% - Accent6 7 3 2 2 4" xfId="4789" xr:uid="{00000000-0005-0000-0000-00002E060000}"/>
    <cellStyle name="20% - Accent6 7 3 2 2 5" xfId="4790" xr:uid="{00000000-0005-0000-0000-00002F060000}"/>
    <cellStyle name="20% - Accent6 7 3 2 2 6" xfId="4791" xr:uid="{00000000-0005-0000-0000-000030060000}"/>
    <cellStyle name="20% - Accent6 7 3 2 2 7" xfId="4792" xr:uid="{00000000-0005-0000-0000-000031060000}"/>
    <cellStyle name="20% - Accent6 7 3 2 2 8" xfId="4793" xr:uid="{00000000-0005-0000-0000-000032060000}"/>
    <cellStyle name="20% - Accent6 7 3 2 3" xfId="4794" xr:uid="{00000000-0005-0000-0000-000033060000}"/>
    <cellStyle name="20% - Accent6 7 3 2 3 2" xfId="4795" xr:uid="{00000000-0005-0000-0000-000034060000}"/>
    <cellStyle name="20% - Accent6 7 3 2 3 2 2" xfId="4796" xr:uid="{00000000-0005-0000-0000-000035060000}"/>
    <cellStyle name="20% - Accent6 7 3 2 3 3" xfId="4797" xr:uid="{00000000-0005-0000-0000-000036060000}"/>
    <cellStyle name="20% - Accent6 7 3 2 3 4" xfId="4798" xr:uid="{00000000-0005-0000-0000-000037060000}"/>
    <cellStyle name="20% - Accent6 7 3 2 4" xfId="4799" xr:uid="{00000000-0005-0000-0000-000038060000}"/>
    <cellStyle name="20% - Accent6 7 3 2 4 2" xfId="4800" xr:uid="{00000000-0005-0000-0000-000039060000}"/>
    <cellStyle name="20% - Accent6 7 3 2 5" xfId="4801" xr:uid="{00000000-0005-0000-0000-00003A060000}"/>
    <cellStyle name="20% - Accent6 7 3 2 5 2" xfId="4802" xr:uid="{00000000-0005-0000-0000-00003B060000}"/>
    <cellStyle name="20% - Accent6 7 3 2 6" xfId="4803" xr:uid="{00000000-0005-0000-0000-00003C060000}"/>
    <cellStyle name="20% - Accent6 7 3 2 6 2" xfId="4804" xr:uid="{00000000-0005-0000-0000-00003D060000}"/>
    <cellStyle name="20% - Accent6 7 3 2 7" xfId="4805" xr:uid="{00000000-0005-0000-0000-00003E060000}"/>
    <cellStyle name="20% - Accent6 7 3 2 8" xfId="4806" xr:uid="{00000000-0005-0000-0000-00003F060000}"/>
    <cellStyle name="20% - Accent6 7 3 2 9" xfId="4807" xr:uid="{00000000-0005-0000-0000-000040060000}"/>
    <cellStyle name="20% - Accent6 7 3 3" xfId="4808" xr:uid="{00000000-0005-0000-0000-000041060000}"/>
    <cellStyle name="20% - Accent6 7 3 3 2" xfId="4809" xr:uid="{00000000-0005-0000-0000-000042060000}"/>
    <cellStyle name="20% - Accent6 7 3 3 2 2" xfId="4810" xr:uid="{00000000-0005-0000-0000-000043060000}"/>
    <cellStyle name="20% - Accent6 7 3 3 2 3" xfId="4811" xr:uid="{00000000-0005-0000-0000-000044060000}"/>
    <cellStyle name="20% - Accent6 7 3 3 3" xfId="4812" xr:uid="{00000000-0005-0000-0000-000045060000}"/>
    <cellStyle name="20% - Accent6 7 3 3 3 2" xfId="4813" xr:uid="{00000000-0005-0000-0000-000046060000}"/>
    <cellStyle name="20% - Accent6 7 3 3 4" xfId="4814" xr:uid="{00000000-0005-0000-0000-000047060000}"/>
    <cellStyle name="20% - Accent6 7 3 3 5" xfId="4815" xr:uid="{00000000-0005-0000-0000-000048060000}"/>
    <cellStyle name="20% - Accent6 7 3 3 6" xfId="4816" xr:uid="{00000000-0005-0000-0000-000049060000}"/>
    <cellStyle name="20% - Accent6 7 3 3 7" xfId="4817" xr:uid="{00000000-0005-0000-0000-00004A060000}"/>
    <cellStyle name="20% - Accent6 7 3 3 8" xfId="4818" xr:uid="{00000000-0005-0000-0000-00004B060000}"/>
    <cellStyle name="20% - Accent6 7 3 4" xfId="4819" xr:uid="{00000000-0005-0000-0000-00004C060000}"/>
    <cellStyle name="20% - Accent6 7 3 4 2" xfId="4820" xr:uid="{00000000-0005-0000-0000-00004D060000}"/>
    <cellStyle name="20% - Accent6 7 3 4 2 2" xfId="4821" xr:uid="{00000000-0005-0000-0000-00004E060000}"/>
    <cellStyle name="20% - Accent6 7 3 4 3" xfId="4822" xr:uid="{00000000-0005-0000-0000-00004F060000}"/>
    <cellStyle name="20% - Accent6 7 3 4 4" xfId="4823" xr:uid="{00000000-0005-0000-0000-000050060000}"/>
    <cellStyle name="20% - Accent6 7 3 5" xfId="4824" xr:uid="{00000000-0005-0000-0000-000051060000}"/>
    <cellStyle name="20% - Accent6 7 3 5 2" xfId="4825" xr:uid="{00000000-0005-0000-0000-000052060000}"/>
    <cellStyle name="20% - Accent6 7 3 6" xfId="4826" xr:uid="{00000000-0005-0000-0000-000053060000}"/>
    <cellStyle name="20% - Accent6 7 3 6 2" xfId="4827" xr:uid="{00000000-0005-0000-0000-000054060000}"/>
    <cellStyle name="20% - Accent6 7 3 7" xfId="4828" xr:uid="{00000000-0005-0000-0000-000055060000}"/>
    <cellStyle name="20% - Accent6 7 3 7 2" xfId="4829" xr:uid="{00000000-0005-0000-0000-000056060000}"/>
    <cellStyle name="20% - Accent6 7 3 8" xfId="4830" xr:uid="{00000000-0005-0000-0000-000057060000}"/>
    <cellStyle name="20% - Accent6 7 3 9" xfId="4831" xr:uid="{00000000-0005-0000-0000-000058060000}"/>
    <cellStyle name="20% - Accent6 7 4" xfId="4832" xr:uid="{00000000-0005-0000-0000-000059060000}"/>
    <cellStyle name="20% - Accent6 7 4 10" xfId="4833" xr:uid="{00000000-0005-0000-0000-00005A060000}"/>
    <cellStyle name="20% - Accent6 7 4 11" xfId="4834" xr:uid="{00000000-0005-0000-0000-00005B060000}"/>
    <cellStyle name="20% - Accent6 7 4 2" xfId="4835" xr:uid="{00000000-0005-0000-0000-00005C060000}"/>
    <cellStyle name="20% - Accent6 7 4 2 2" xfId="4836" xr:uid="{00000000-0005-0000-0000-00005D060000}"/>
    <cellStyle name="20% - Accent6 7 4 2 2 2" xfId="4837" xr:uid="{00000000-0005-0000-0000-00005E060000}"/>
    <cellStyle name="20% - Accent6 7 4 2 2 3" xfId="4838" xr:uid="{00000000-0005-0000-0000-00005F060000}"/>
    <cellStyle name="20% - Accent6 7 4 2 3" xfId="4839" xr:uid="{00000000-0005-0000-0000-000060060000}"/>
    <cellStyle name="20% - Accent6 7 4 2 3 2" xfId="4840" xr:uid="{00000000-0005-0000-0000-000061060000}"/>
    <cellStyle name="20% - Accent6 7 4 2 4" xfId="4841" xr:uid="{00000000-0005-0000-0000-000062060000}"/>
    <cellStyle name="20% - Accent6 7 4 2 5" xfId="4842" xr:uid="{00000000-0005-0000-0000-000063060000}"/>
    <cellStyle name="20% - Accent6 7 4 2 6" xfId="4843" xr:uid="{00000000-0005-0000-0000-000064060000}"/>
    <cellStyle name="20% - Accent6 7 4 2 7" xfId="4844" xr:uid="{00000000-0005-0000-0000-000065060000}"/>
    <cellStyle name="20% - Accent6 7 4 2 8" xfId="4845" xr:uid="{00000000-0005-0000-0000-000066060000}"/>
    <cellStyle name="20% - Accent6 7 4 3" xfId="4846" xr:uid="{00000000-0005-0000-0000-000067060000}"/>
    <cellStyle name="20% - Accent6 7 4 3 2" xfId="4847" xr:uid="{00000000-0005-0000-0000-000068060000}"/>
    <cellStyle name="20% - Accent6 7 4 3 2 2" xfId="4848" xr:uid="{00000000-0005-0000-0000-000069060000}"/>
    <cellStyle name="20% - Accent6 7 4 3 3" xfId="4849" xr:uid="{00000000-0005-0000-0000-00006A060000}"/>
    <cellStyle name="20% - Accent6 7 4 3 4" xfId="4850" xr:uid="{00000000-0005-0000-0000-00006B060000}"/>
    <cellStyle name="20% - Accent6 7 4 4" xfId="4851" xr:uid="{00000000-0005-0000-0000-00006C060000}"/>
    <cellStyle name="20% - Accent6 7 4 4 2" xfId="4852" xr:uid="{00000000-0005-0000-0000-00006D060000}"/>
    <cellStyle name="20% - Accent6 7 4 5" xfId="4853" xr:uid="{00000000-0005-0000-0000-00006E060000}"/>
    <cellStyle name="20% - Accent6 7 4 5 2" xfId="4854" xr:uid="{00000000-0005-0000-0000-00006F060000}"/>
    <cellStyle name="20% - Accent6 7 4 6" xfId="4855" xr:uid="{00000000-0005-0000-0000-000070060000}"/>
    <cellStyle name="20% - Accent6 7 4 6 2" xfId="4856" xr:uid="{00000000-0005-0000-0000-000071060000}"/>
    <cellStyle name="20% - Accent6 7 4 7" xfId="4857" xr:uid="{00000000-0005-0000-0000-000072060000}"/>
    <cellStyle name="20% - Accent6 7 4 8" xfId="4858" xr:uid="{00000000-0005-0000-0000-000073060000}"/>
    <cellStyle name="20% - Accent6 7 4 9" xfId="4859" xr:uid="{00000000-0005-0000-0000-000074060000}"/>
    <cellStyle name="20% - Accent6 7 5" xfId="4860" xr:uid="{00000000-0005-0000-0000-000075060000}"/>
    <cellStyle name="20% - Accent6 7 5 2" xfId="4861" xr:uid="{00000000-0005-0000-0000-000076060000}"/>
    <cellStyle name="20% - Accent6 7 5 2 2" xfId="4862" xr:uid="{00000000-0005-0000-0000-000077060000}"/>
    <cellStyle name="20% - Accent6 7 5 2 3" xfId="4863" xr:uid="{00000000-0005-0000-0000-000078060000}"/>
    <cellStyle name="20% - Accent6 7 5 3" xfId="4864" xr:uid="{00000000-0005-0000-0000-000079060000}"/>
    <cellStyle name="20% - Accent6 7 5 3 2" xfId="4865" xr:uid="{00000000-0005-0000-0000-00007A060000}"/>
    <cellStyle name="20% - Accent6 7 5 4" xfId="4866" xr:uid="{00000000-0005-0000-0000-00007B060000}"/>
    <cellStyle name="20% - Accent6 7 5 5" xfId="4867" xr:uid="{00000000-0005-0000-0000-00007C060000}"/>
    <cellStyle name="20% - Accent6 7 5 6" xfId="4868" xr:uid="{00000000-0005-0000-0000-00007D060000}"/>
    <cellStyle name="20% - Accent6 7 5 7" xfId="4869" xr:uid="{00000000-0005-0000-0000-00007E060000}"/>
    <cellStyle name="20% - Accent6 7 5 8" xfId="4870" xr:uid="{00000000-0005-0000-0000-00007F060000}"/>
    <cellStyle name="20% - Accent6 7 6" xfId="4871" xr:uid="{00000000-0005-0000-0000-000080060000}"/>
    <cellStyle name="20% - Accent6 7 6 2" xfId="4872" xr:uid="{00000000-0005-0000-0000-000081060000}"/>
    <cellStyle name="20% - Accent6 7 6 2 2" xfId="4873" xr:uid="{00000000-0005-0000-0000-000082060000}"/>
    <cellStyle name="20% - Accent6 7 6 3" xfId="4874" xr:uid="{00000000-0005-0000-0000-000083060000}"/>
    <cellStyle name="20% - Accent6 7 6 4" xfId="4875" xr:uid="{00000000-0005-0000-0000-000084060000}"/>
    <cellStyle name="20% - Accent6 7 7" xfId="4876" xr:uid="{00000000-0005-0000-0000-000085060000}"/>
    <cellStyle name="20% - Accent6 7 7 2" xfId="4877" xr:uid="{00000000-0005-0000-0000-000086060000}"/>
    <cellStyle name="20% - Accent6 7 8" xfId="4878" xr:uid="{00000000-0005-0000-0000-000087060000}"/>
    <cellStyle name="20% - Accent6 7 8 2" xfId="4879" xr:uid="{00000000-0005-0000-0000-000088060000}"/>
    <cellStyle name="20% - Accent6 7 9" xfId="4880" xr:uid="{00000000-0005-0000-0000-000089060000}"/>
    <cellStyle name="20% - Accent6 7 9 2" xfId="4881" xr:uid="{00000000-0005-0000-0000-00008A060000}"/>
    <cellStyle name="20% - Accent6 8" xfId="4882" xr:uid="{00000000-0005-0000-0000-00008B060000}"/>
    <cellStyle name="20% - Accent6 9" xfId="4883" xr:uid="{00000000-0005-0000-0000-00008C060000}"/>
    <cellStyle name="20% - Accent6 9 2" xfId="4884" xr:uid="{00000000-0005-0000-0000-00008D060000}"/>
    <cellStyle name="20% - Accent6 9 3" xfId="4885" xr:uid="{00000000-0005-0000-0000-00008E060000}"/>
    <cellStyle name="40% - Accent1 10" xfId="4886" xr:uid="{00000000-0005-0000-0000-00008F060000}"/>
    <cellStyle name="40% - Accent1 11" xfId="4887" xr:uid="{00000000-0005-0000-0000-000090060000}"/>
    <cellStyle name="40% - Accent1 2" xfId="3003" xr:uid="{00000000-0005-0000-0000-000091060000}"/>
    <cellStyle name="40% - Accent1 2 2" xfId="4888" xr:uid="{00000000-0005-0000-0000-000092060000}"/>
    <cellStyle name="40% - Accent1 2 2 2" xfId="4889" xr:uid="{00000000-0005-0000-0000-000093060000}"/>
    <cellStyle name="40% - Accent1 2 3" xfId="4890" xr:uid="{00000000-0005-0000-0000-000094060000}"/>
    <cellStyle name="40% - Accent1 2 4" xfId="4891" xr:uid="{00000000-0005-0000-0000-000095060000}"/>
    <cellStyle name="40% - Accent1 2 5" xfId="4892" xr:uid="{00000000-0005-0000-0000-000096060000}"/>
    <cellStyle name="40% - Accent1 2 6" xfId="4893" xr:uid="{00000000-0005-0000-0000-000097060000}"/>
    <cellStyle name="40% - Accent1 2 7" xfId="4894" xr:uid="{00000000-0005-0000-0000-000098060000}"/>
    <cellStyle name="40% - Accent1 3" xfId="3004" xr:uid="{00000000-0005-0000-0000-000099060000}"/>
    <cellStyle name="40% - Accent1 3 2" xfId="4895" xr:uid="{00000000-0005-0000-0000-00009A060000}"/>
    <cellStyle name="40% - Accent1 3 2 2" xfId="4896" xr:uid="{00000000-0005-0000-0000-00009B060000}"/>
    <cellStyle name="40% - Accent1 3 3" xfId="4897" xr:uid="{00000000-0005-0000-0000-00009C060000}"/>
    <cellStyle name="40% - Accent1 3 3 2" xfId="4898" xr:uid="{00000000-0005-0000-0000-00009D060000}"/>
    <cellStyle name="40% - Accent1 3 4" xfId="4899" xr:uid="{00000000-0005-0000-0000-00009E060000}"/>
    <cellStyle name="40% - Accent1 4" xfId="3188" xr:uid="{00000000-0005-0000-0000-00009F060000}"/>
    <cellStyle name="40% - Accent1 4 2" xfId="4900" xr:uid="{00000000-0005-0000-0000-0000A0060000}"/>
    <cellStyle name="40% - Accent1 4 3" xfId="4901" xr:uid="{00000000-0005-0000-0000-0000A1060000}"/>
    <cellStyle name="40% - Accent1 4 4" xfId="4902" xr:uid="{00000000-0005-0000-0000-0000A2060000}"/>
    <cellStyle name="40% - Accent1 5" xfId="4903" xr:uid="{00000000-0005-0000-0000-0000A3060000}"/>
    <cellStyle name="40% - Accent1 5 2" xfId="4904" xr:uid="{00000000-0005-0000-0000-0000A4060000}"/>
    <cellStyle name="40% - Accent1 6" xfId="4905" xr:uid="{00000000-0005-0000-0000-0000A5060000}"/>
    <cellStyle name="40% - Accent1 6 2" xfId="4906" xr:uid="{00000000-0005-0000-0000-0000A6060000}"/>
    <cellStyle name="40% - Accent1 7" xfId="4907" xr:uid="{00000000-0005-0000-0000-0000A7060000}"/>
    <cellStyle name="40% - Accent1 7 10" xfId="4908" xr:uid="{00000000-0005-0000-0000-0000A8060000}"/>
    <cellStyle name="40% - Accent1 7 11" xfId="4909" xr:uid="{00000000-0005-0000-0000-0000A9060000}"/>
    <cellStyle name="40% - Accent1 7 12" xfId="4910" xr:uid="{00000000-0005-0000-0000-0000AA060000}"/>
    <cellStyle name="40% - Accent1 7 13" xfId="4911" xr:uid="{00000000-0005-0000-0000-0000AB060000}"/>
    <cellStyle name="40% - Accent1 7 14" xfId="4912" xr:uid="{00000000-0005-0000-0000-0000AC060000}"/>
    <cellStyle name="40% - Accent1 7 2" xfId="4913" xr:uid="{00000000-0005-0000-0000-0000AD060000}"/>
    <cellStyle name="40% - Accent1 7 2 10" xfId="4914" xr:uid="{00000000-0005-0000-0000-0000AE060000}"/>
    <cellStyle name="40% - Accent1 7 2 11" xfId="4915" xr:uid="{00000000-0005-0000-0000-0000AF060000}"/>
    <cellStyle name="40% - Accent1 7 2 12" xfId="4916" xr:uid="{00000000-0005-0000-0000-0000B0060000}"/>
    <cellStyle name="40% - Accent1 7 2 13" xfId="4917" xr:uid="{00000000-0005-0000-0000-0000B1060000}"/>
    <cellStyle name="40% - Accent1 7 2 2" xfId="4918" xr:uid="{00000000-0005-0000-0000-0000B2060000}"/>
    <cellStyle name="40% - Accent1 7 2 2 10" xfId="4919" xr:uid="{00000000-0005-0000-0000-0000B3060000}"/>
    <cellStyle name="40% - Accent1 7 2 2 11" xfId="4920" xr:uid="{00000000-0005-0000-0000-0000B4060000}"/>
    <cellStyle name="40% - Accent1 7 2 2 12" xfId="4921" xr:uid="{00000000-0005-0000-0000-0000B5060000}"/>
    <cellStyle name="40% - Accent1 7 2 2 2" xfId="4922" xr:uid="{00000000-0005-0000-0000-0000B6060000}"/>
    <cellStyle name="40% - Accent1 7 2 2 2 10" xfId="4923" xr:uid="{00000000-0005-0000-0000-0000B7060000}"/>
    <cellStyle name="40% - Accent1 7 2 2 2 11" xfId="4924" xr:uid="{00000000-0005-0000-0000-0000B8060000}"/>
    <cellStyle name="40% - Accent1 7 2 2 2 2" xfId="4925" xr:uid="{00000000-0005-0000-0000-0000B9060000}"/>
    <cellStyle name="40% - Accent1 7 2 2 2 2 2" xfId="4926" xr:uid="{00000000-0005-0000-0000-0000BA060000}"/>
    <cellStyle name="40% - Accent1 7 2 2 2 2 2 2" xfId="4927" xr:uid="{00000000-0005-0000-0000-0000BB060000}"/>
    <cellStyle name="40% - Accent1 7 2 2 2 2 2 3" xfId="4928" xr:uid="{00000000-0005-0000-0000-0000BC060000}"/>
    <cellStyle name="40% - Accent1 7 2 2 2 2 3" xfId="4929" xr:uid="{00000000-0005-0000-0000-0000BD060000}"/>
    <cellStyle name="40% - Accent1 7 2 2 2 2 3 2" xfId="4930" xr:uid="{00000000-0005-0000-0000-0000BE060000}"/>
    <cellStyle name="40% - Accent1 7 2 2 2 2 4" xfId="4931" xr:uid="{00000000-0005-0000-0000-0000BF060000}"/>
    <cellStyle name="40% - Accent1 7 2 2 2 2 5" xfId="4932" xr:uid="{00000000-0005-0000-0000-0000C0060000}"/>
    <cellStyle name="40% - Accent1 7 2 2 2 2 6" xfId="4933" xr:uid="{00000000-0005-0000-0000-0000C1060000}"/>
    <cellStyle name="40% - Accent1 7 2 2 2 2 7" xfId="4934" xr:uid="{00000000-0005-0000-0000-0000C2060000}"/>
    <cellStyle name="40% - Accent1 7 2 2 2 2 8" xfId="4935" xr:uid="{00000000-0005-0000-0000-0000C3060000}"/>
    <cellStyle name="40% - Accent1 7 2 2 2 3" xfId="4936" xr:uid="{00000000-0005-0000-0000-0000C4060000}"/>
    <cellStyle name="40% - Accent1 7 2 2 2 3 2" xfId="4937" xr:uid="{00000000-0005-0000-0000-0000C5060000}"/>
    <cellStyle name="40% - Accent1 7 2 2 2 3 2 2" xfId="4938" xr:uid="{00000000-0005-0000-0000-0000C6060000}"/>
    <cellStyle name="40% - Accent1 7 2 2 2 3 3" xfId="4939" xr:uid="{00000000-0005-0000-0000-0000C7060000}"/>
    <cellStyle name="40% - Accent1 7 2 2 2 3 4" xfId="4940" xr:uid="{00000000-0005-0000-0000-0000C8060000}"/>
    <cellStyle name="40% - Accent1 7 2 2 2 4" xfId="4941" xr:uid="{00000000-0005-0000-0000-0000C9060000}"/>
    <cellStyle name="40% - Accent1 7 2 2 2 4 2" xfId="4942" xr:uid="{00000000-0005-0000-0000-0000CA060000}"/>
    <cellStyle name="40% - Accent1 7 2 2 2 5" xfId="4943" xr:uid="{00000000-0005-0000-0000-0000CB060000}"/>
    <cellStyle name="40% - Accent1 7 2 2 2 5 2" xfId="4944" xr:uid="{00000000-0005-0000-0000-0000CC060000}"/>
    <cellStyle name="40% - Accent1 7 2 2 2 6" xfId="4945" xr:uid="{00000000-0005-0000-0000-0000CD060000}"/>
    <cellStyle name="40% - Accent1 7 2 2 2 6 2" xfId="4946" xr:uid="{00000000-0005-0000-0000-0000CE060000}"/>
    <cellStyle name="40% - Accent1 7 2 2 2 7" xfId="4947" xr:uid="{00000000-0005-0000-0000-0000CF060000}"/>
    <cellStyle name="40% - Accent1 7 2 2 2 8" xfId="4948" xr:uid="{00000000-0005-0000-0000-0000D0060000}"/>
    <cellStyle name="40% - Accent1 7 2 2 2 9" xfId="4949" xr:uid="{00000000-0005-0000-0000-0000D1060000}"/>
    <cellStyle name="40% - Accent1 7 2 2 3" xfId="4950" xr:uid="{00000000-0005-0000-0000-0000D2060000}"/>
    <cellStyle name="40% - Accent1 7 2 2 3 2" xfId="4951" xr:uid="{00000000-0005-0000-0000-0000D3060000}"/>
    <cellStyle name="40% - Accent1 7 2 2 3 2 2" xfId="4952" xr:uid="{00000000-0005-0000-0000-0000D4060000}"/>
    <cellStyle name="40% - Accent1 7 2 2 3 2 3" xfId="4953" xr:uid="{00000000-0005-0000-0000-0000D5060000}"/>
    <cellStyle name="40% - Accent1 7 2 2 3 3" xfId="4954" xr:uid="{00000000-0005-0000-0000-0000D6060000}"/>
    <cellStyle name="40% - Accent1 7 2 2 3 3 2" xfId="4955" xr:uid="{00000000-0005-0000-0000-0000D7060000}"/>
    <cellStyle name="40% - Accent1 7 2 2 3 4" xfId="4956" xr:uid="{00000000-0005-0000-0000-0000D8060000}"/>
    <cellStyle name="40% - Accent1 7 2 2 3 5" xfId="4957" xr:uid="{00000000-0005-0000-0000-0000D9060000}"/>
    <cellStyle name="40% - Accent1 7 2 2 3 6" xfId="4958" xr:uid="{00000000-0005-0000-0000-0000DA060000}"/>
    <cellStyle name="40% - Accent1 7 2 2 3 7" xfId="4959" xr:uid="{00000000-0005-0000-0000-0000DB060000}"/>
    <cellStyle name="40% - Accent1 7 2 2 3 8" xfId="4960" xr:uid="{00000000-0005-0000-0000-0000DC060000}"/>
    <cellStyle name="40% - Accent1 7 2 2 4" xfId="4961" xr:uid="{00000000-0005-0000-0000-0000DD060000}"/>
    <cellStyle name="40% - Accent1 7 2 2 4 2" xfId="4962" xr:uid="{00000000-0005-0000-0000-0000DE060000}"/>
    <cellStyle name="40% - Accent1 7 2 2 4 2 2" xfId="4963" xr:uid="{00000000-0005-0000-0000-0000DF060000}"/>
    <cellStyle name="40% - Accent1 7 2 2 4 3" xfId="4964" xr:uid="{00000000-0005-0000-0000-0000E0060000}"/>
    <cellStyle name="40% - Accent1 7 2 2 4 4" xfId="4965" xr:uid="{00000000-0005-0000-0000-0000E1060000}"/>
    <cellStyle name="40% - Accent1 7 2 2 5" xfId="4966" xr:uid="{00000000-0005-0000-0000-0000E2060000}"/>
    <cellStyle name="40% - Accent1 7 2 2 5 2" xfId="4967" xr:uid="{00000000-0005-0000-0000-0000E3060000}"/>
    <cellStyle name="40% - Accent1 7 2 2 6" xfId="4968" xr:uid="{00000000-0005-0000-0000-0000E4060000}"/>
    <cellStyle name="40% - Accent1 7 2 2 6 2" xfId="4969" xr:uid="{00000000-0005-0000-0000-0000E5060000}"/>
    <cellStyle name="40% - Accent1 7 2 2 7" xfId="4970" xr:uid="{00000000-0005-0000-0000-0000E6060000}"/>
    <cellStyle name="40% - Accent1 7 2 2 7 2" xfId="4971" xr:uid="{00000000-0005-0000-0000-0000E7060000}"/>
    <cellStyle name="40% - Accent1 7 2 2 8" xfId="4972" xr:uid="{00000000-0005-0000-0000-0000E8060000}"/>
    <cellStyle name="40% - Accent1 7 2 2 9" xfId="4973" xr:uid="{00000000-0005-0000-0000-0000E9060000}"/>
    <cellStyle name="40% - Accent1 7 2 3" xfId="4974" xr:uid="{00000000-0005-0000-0000-0000EA060000}"/>
    <cellStyle name="40% - Accent1 7 2 3 10" xfId="4975" xr:uid="{00000000-0005-0000-0000-0000EB060000}"/>
    <cellStyle name="40% - Accent1 7 2 3 11" xfId="4976" xr:uid="{00000000-0005-0000-0000-0000EC060000}"/>
    <cellStyle name="40% - Accent1 7 2 3 2" xfId="4977" xr:uid="{00000000-0005-0000-0000-0000ED060000}"/>
    <cellStyle name="40% - Accent1 7 2 3 2 2" xfId="4978" xr:uid="{00000000-0005-0000-0000-0000EE060000}"/>
    <cellStyle name="40% - Accent1 7 2 3 2 2 2" xfId="4979" xr:uid="{00000000-0005-0000-0000-0000EF060000}"/>
    <cellStyle name="40% - Accent1 7 2 3 2 2 3" xfId="4980" xr:uid="{00000000-0005-0000-0000-0000F0060000}"/>
    <cellStyle name="40% - Accent1 7 2 3 2 3" xfId="4981" xr:uid="{00000000-0005-0000-0000-0000F1060000}"/>
    <cellStyle name="40% - Accent1 7 2 3 2 3 2" xfId="4982" xr:uid="{00000000-0005-0000-0000-0000F2060000}"/>
    <cellStyle name="40% - Accent1 7 2 3 2 4" xfId="4983" xr:uid="{00000000-0005-0000-0000-0000F3060000}"/>
    <cellStyle name="40% - Accent1 7 2 3 2 5" xfId="4984" xr:uid="{00000000-0005-0000-0000-0000F4060000}"/>
    <cellStyle name="40% - Accent1 7 2 3 2 6" xfId="4985" xr:uid="{00000000-0005-0000-0000-0000F5060000}"/>
    <cellStyle name="40% - Accent1 7 2 3 2 7" xfId="4986" xr:uid="{00000000-0005-0000-0000-0000F6060000}"/>
    <cellStyle name="40% - Accent1 7 2 3 2 8" xfId="4987" xr:uid="{00000000-0005-0000-0000-0000F7060000}"/>
    <cellStyle name="40% - Accent1 7 2 3 3" xfId="4988" xr:uid="{00000000-0005-0000-0000-0000F8060000}"/>
    <cellStyle name="40% - Accent1 7 2 3 3 2" xfId="4989" xr:uid="{00000000-0005-0000-0000-0000F9060000}"/>
    <cellStyle name="40% - Accent1 7 2 3 3 2 2" xfId="4990" xr:uid="{00000000-0005-0000-0000-0000FA060000}"/>
    <cellStyle name="40% - Accent1 7 2 3 3 3" xfId="4991" xr:uid="{00000000-0005-0000-0000-0000FB060000}"/>
    <cellStyle name="40% - Accent1 7 2 3 3 4" xfId="4992" xr:uid="{00000000-0005-0000-0000-0000FC060000}"/>
    <cellStyle name="40% - Accent1 7 2 3 4" xfId="4993" xr:uid="{00000000-0005-0000-0000-0000FD060000}"/>
    <cellStyle name="40% - Accent1 7 2 3 4 2" xfId="4994" xr:uid="{00000000-0005-0000-0000-0000FE060000}"/>
    <cellStyle name="40% - Accent1 7 2 3 5" xfId="4995" xr:uid="{00000000-0005-0000-0000-0000FF060000}"/>
    <cellStyle name="40% - Accent1 7 2 3 5 2" xfId="4996" xr:uid="{00000000-0005-0000-0000-000000070000}"/>
    <cellStyle name="40% - Accent1 7 2 3 6" xfId="4997" xr:uid="{00000000-0005-0000-0000-000001070000}"/>
    <cellStyle name="40% - Accent1 7 2 3 6 2" xfId="4998" xr:uid="{00000000-0005-0000-0000-000002070000}"/>
    <cellStyle name="40% - Accent1 7 2 3 7" xfId="4999" xr:uid="{00000000-0005-0000-0000-000003070000}"/>
    <cellStyle name="40% - Accent1 7 2 3 8" xfId="5000" xr:uid="{00000000-0005-0000-0000-000004070000}"/>
    <cellStyle name="40% - Accent1 7 2 3 9" xfId="5001" xr:uid="{00000000-0005-0000-0000-000005070000}"/>
    <cellStyle name="40% - Accent1 7 2 4" xfId="5002" xr:uid="{00000000-0005-0000-0000-000006070000}"/>
    <cellStyle name="40% - Accent1 7 2 4 2" xfId="5003" xr:uid="{00000000-0005-0000-0000-000007070000}"/>
    <cellStyle name="40% - Accent1 7 2 4 2 2" xfId="5004" xr:uid="{00000000-0005-0000-0000-000008070000}"/>
    <cellStyle name="40% - Accent1 7 2 4 2 3" xfId="5005" xr:uid="{00000000-0005-0000-0000-000009070000}"/>
    <cellStyle name="40% - Accent1 7 2 4 3" xfId="5006" xr:uid="{00000000-0005-0000-0000-00000A070000}"/>
    <cellStyle name="40% - Accent1 7 2 4 3 2" xfId="5007" xr:uid="{00000000-0005-0000-0000-00000B070000}"/>
    <cellStyle name="40% - Accent1 7 2 4 4" xfId="5008" xr:uid="{00000000-0005-0000-0000-00000C070000}"/>
    <cellStyle name="40% - Accent1 7 2 4 5" xfId="5009" xr:uid="{00000000-0005-0000-0000-00000D070000}"/>
    <cellStyle name="40% - Accent1 7 2 4 6" xfId="5010" xr:uid="{00000000-0005-0000-0000-00000E070000}"/>
    <cellStyle name="40% - Accent1 7 2 4 7" xfId="5011" xr:uid="{00000000-0005-0000-0000-00000F070000}"/>
    <cellStyle name="40% - Accent1 7 2 4 8" xfId="5012" xr:uid="{00000000-0005-0000-0000-000010070000}"/>
    <cellStyle name="40% - Accent1 7 2 5" xfId="5013" xr:uid="{00000000-0005-0000-0000-000011070000}"/>
    <cellStyle name="40% - Accent1 7 2 5 2" xfId="5014" xr:uid="{00000000-0005-0000-0000-000012070000}"/>
    <cellStyle name="40% - Accent1 7 2 5 2 2" xfId="5015" xr:uid="{00000000-0005-0000-0000-000013070000}"/>
    <cellStyle name="40% - Accent1 7 2 5 3" xfId="5016" xr:uid="{00000000-0005-0000-0000-000014070000}"/>
    <cellStyle name="40% - Accent1 7 2 5 4" xfId="5017" xr:uid="{00000000-0005-0000-0000-000015070000}"/>
    <cellStyle name="40% - Accent1 7 2 6" xfId="5018" xr:uid="{00000000-0005-0000-0000-000016070000}"/>
    <cellStyle name="40% - Accent1 7 2 6 2" xfId="5019" xr:uid="{00000000-0005-0000-0000-000017070000}"/>
    <cellStyle name="40% - Accent1 7 2 7" xfId="5020" xr:uid="{00000000-0005-0000-0000-000018070000}"/>
    <cellStyle name="40% - Accent1 7 2 7 2" xfId="5021" xr:uid="{00000000-0005-0000-0000-000019070000}"/>
    <cellStyle name="40% - Accent1 7 2 8" xfId="5022" xr:uid="{00000000-0005-0000-0000-00001A070000}"/>
    <cellStyle name="40% - Accent1 7 2 8 2" xfId="5023" xr:uid="{00000000-0005-0000-0000-00001B070000}"/>
    <cellStyle name="40% - Accent1 7 2 9" xfId="5024" xr:uid="{00000000-0005-0000-0000-00001C070000}"/>
    <cellStyle name="40% - Accent1 7 3" xfId="5025" xr:uid="{00000000-0005-0000-0000-00001D070000}"/>
    <cellStyle name="40% - Accent1 7 3 10" xfId="5026" xr:uid="{00000000-0005-0000-0000-00001E070000}"/>
    <cellStyle name="40% - Accent1 7 3 11" xfId="5027" xr:uid="{00000000-0005-0000-0000-00001F070000}"/>
    <cellStyle name="40% - Accent1 7 3 12" xfId="5028" xr:uid="{00000000-0005-0000-0000-000020070000}"/>
    <cellStyle name="40% - Accent1 7 3 2" xfId="5029" xr:uid="{00000000-0005-0000-0000-000021070000}"/>
    <cellStyle name="40% - Accent1 7 3 2 10" xfId="5030" xr:uid="{00000000-0005-0000-0000-000022070000}"/>
    <cellStyle name="40% - Accent1 7 3 2 11" xfId="5031" xr:uid="{00000000-0005-0000-0000-000023070000}"/>
    <cellStyle name="40% - Accent1 7 3 2 2" xfId="5032" xr:uid="{00000000-0005-0000-0000-000024070000}"/>
    <cellStyle name="40% - Accent1 7 3 2 2 2" xfId="5033" xr:uid="{00000000-0005-0000-0000-000025070000}"/>
    <cellStyle name="40% - Accent1 7 3 2 2 2 2" xfId="5034" xr:uid="{00000000-0005-0000-0000-000026070000}"/>
    <cellStyle name="40% - Accent1 7 3 2 2 2 3" xfId="5035" xr:uid="{00000000-0005-0000-0000-000027070000}"/>
    <cellStyle name="40% - Accent1 7 3 2 2 3" xfId="5036" xr:uid="{00000000-0005-0000-0000-000028070000}"/>
    <cellStyle name="40% - Accent1 7 3 2 2 3 2" xfId="5037" xr:uid="{00000000-0005-0000-0000-000029070000}"/>
    <cellStyle name="40% - Accent1 7 3 2 2 4" xfId="5038" xr:uid="{00000000-0005-0000-0000-00002A070000}"/>
    <cellStyle name="40% - Accent1 7 3 2 2 5" xfId="5039" xr:uid="{00000000-0005-0000-0000-00002B070000}"/>
    <cellStyle name="40% - Accent1 7 3 2 2 6" xfId="5040" xr:uid="{00000000-0005-0000-0000-00002C070000}"/>
    <cellStyle name="40% - Accent1 7 3 2 2 7" xfId="5041" xr:uid="{00000000-0005-0000-0000-00002D070000}"/>
    <cellStyle name="40% - Accent1 7 3 2 2 8" xfId="5042" xr:uid="{00000000-0005-0000-0000-00002E070000}"/>
    <cellStyle name="40% - Accent1 7 3 2 3" xfId="5043" xr:uid="{00000000-0005-0000-0000-00002F070000}"/>
    <cellStyle name="40% - Accent1 7 3 2 3 2" xfId="5044" xr:uid="{00000000-0005-0000-0000-000030070000}"/>
    <cellStyle name="40% - Accent1 7 3 2 3 2 2" xfId="5045" xr:uid="{00000000-0005-0000-0000-000031070000}"/>
    <cellStyle name="40% - Accent1 7 3 2 3 3" xfId="5046" xr:uid="{00000000-0005-0000-0000-000032070000}"/>
    <cellStyle name="40% - Accent1 7 3 2 3 4" xfId="5047" xr:uid="{00000000-0005-0000-0000-000033070000}"/>
    <cellStyle name="40% - Accent1 7 3 2 4" xfId="5048" xr:uid="{00000000-0005-0000-0000-000034070000}"/>
    <cellStyle name="40% - Accent1 7 3 2 4 2" xfId="5049" xr:uid="{00000000-0005-0000-0000-000035070000}"/>
    <cellStyle name="40% - Accent1 7 3 2 5" xfId="5050" xr:uid="{00000000-0005-0000-0000-000036070000}"/>
    <cellStyle name="40% - Accent1 7 3 2 5 2" xfId="5051" xr:uid="{00000000-0005-0000-0000-000037070000}"/>
    <cellStyle name="40% - Accent1 7 3 2 6" xfId="5052" xr:uid="{00000000-0005-0000-0000-000038070000}"/>
    <cellStyle name="40% - Accent1 7 3 2 6 2" xfId="5053" xr:uid="{00000000-0005-0000-0000-000039070000}"/>
    <cellStyle name="40% - Accent1 7 3 2 7" xfId="5054" xr:uid="{00000000-0005-0000-0000-00003A070000}"/>
    <cellStyle name="40% - Accent1 7 3 2 8" xfId="5055" xr:uid="{00000000-0005-0000-0000-00003B070000}"/>
    <cellStyle name="40% - Accent1 7 3 2 9" xfId="5056" xr:uid="{00000000-0005-0000-0000-00003C070000}"/>
    <cellStyle name="40% - Accent1 7 3 3" xfId="5057" xr:uid="{00000000-0005-0000-0000-00003D070000}"/>
    <cellStyle name="40% - Accent1 7 3 3 2" xfId="5058" xr:uid="{00000000-0005-0000-0000-00003E070000}"/>
    <cellStyle name="40% - Accent1 7 3 3 2 2" xfId="5059" xr:uid="{00000000-0005-0000-0000-00003F070000}"/>
    <cellStyle name="40% - Accent1 7 3 3 2 3" xfId="5060" xr:uid="{00000000-0005-0000-0000-000040070000}"/>
    <cellStyle name="40% - Accent1 7 3 3 3" xfId="5061" xr:uid="{00000000-0005-0000-0000-000041070000}"/>
    <cellStyle name="40% - Accent1 7 3 3 3 2" xfId="5062" xr:uid="{00000000-0005-0000-0000-000042070000}"/>
    <cellStyle name="40% - Accent1 7 3 3 4" xfId="5063" xr:uid="{00000000-0005-0000-0000-000043070000}"/>
    <cellStyle name="40% - Accent1 7 3 3 5" xfId="5064" xr:uid="{00000000-0005-0000-0000-000044070000}"/>
    <cellStyle name="40% - Accent1 7 3 3 6" xfId="5065" xr:uid="{00000000-0005-0000-0000-000045070000}"/>
    <cellStyle name="40% - Accent1 7 3 3 7" xfId="5066" xr:uid="{00000000-0005-0000-0000-000046070000}"/>
    <cellStyle name="40% - Accent1 7 3 3 8" xfId="5067" xr:uid="{00000000-0005-0000-0000-000047070000}"/>
    <cellStyle name="40% - Accent1 7 3 4" xfId="5068" xr:uid="{00000000-0005-0000-0000-000048070000}"/>
    <cellStyle name="40% - Accent1 7 3 4 2" xfId="5069" xr:uid="{00000000-0005-0000-0000-000049070000}"/>
    <cellStyle name="40% - Accent1 7 3 4 2 2" xfId="5070" xr:uid="{00000000-0005-0000-0000-00004A070000}"/>
    <cellStyle name="40% - Accent1 7 3 4 3" xfId="5071" xr:uid="{00000000-0005-0000-0000-00004B070000}"/>
    <cellStyle name="40% - Accent1 7 3 4 4" xfId="5072" xr:uid="{00000000-0005-0000-0000-00004C070000}"/>
    <cellStyle name="40% - Accent1 7 3 5" xfId="5073" xr:uid="{00000000-0005-0000-0000-00004D070000}"/>
    <cellStyle name="40% - Accent1 7 3 5 2" xfId="5074" xr:uid="{00000000-0005-0000-0000-00004E070000}"/>
    <cellStyle name="40% - Accent1 7 3 6" xfId="5075" xr:uid="{00000000-0005-0000-0000-00004F070000}"/>
    <cellStyle name="40% - Accent1 7 3 6 2" xfId="5076" xr:uid="{00000000-0005-0000-0000-000050070000}"/>
    <cellStyle name="40% - Accent1 7 3 7" xfId="5077" xr:uid="{00000000-0005-0000-0000-000051070000}"/>
    <cellStyle name="40% - Accent1 7 3 7 2" xfId="5078" xr:uid="{00000000-0005-0000-0000-000052070000}"/>
    <cellStyle name="40% - Accent1 7 3 8" xfId="5079" xr:uid="{00000000-0005-0000-0000-000053070000}"/>
    <cellStyle name="40% - Accent1 7 3 9" xfId="5080" xr:uid="{00000000-0005-0000-0000-000054070000}"/>
    <cellStyle name="40% - Accent1 7 4" xfId="5081" xr:uid="{00000000-0005-0000-0000-000055070000}"/>
    <cellStyle name="40% - Accent1 7 4 10" xfId="5082" xr:uid="{00000000-0005-0000-0000-000056070000}"/>
    <cellStyle name="40% - Accent1 7 4 11" xfId="5083" xr:uid="{00000000-0005-0000-0000-000057070000}"/>
    <cellStyle name="40% - Accent1 7 4 2" xfId="5084" xr:uid="{00000000-0005-0000-0000-000058070000}"/>
    <cellStyle name="40% - Accent1 7 4 2 2" xfId="5085" xr:uid="{00000000-0005-0000-0000-000059070000}"/>
    <cellStyle name="40% - Accent1 7 4 2 2 2" xfId="5086" xr:uid="{00000000-0005-0000-0000-00005A070000}"/>
    <cellStyle name="40% - Accent1 7 4 2 2 3" xfId="5087" xr:uid="{00000000-0005-0000-0000-00005B070000}"/>
    <cellStyle name="40% - Accent1 7 4 2 3" xfId="5088" xr:uid="{00000000-0005-0000-0000-00005C070000}"/>
    <cellStyle name="40% - Accent1 7 4 2 3 2" xfId="5089" xr:uid="{00000000-0005-0000-0000-00005D070000}"/>
    <cellStyle name="40% - Accent1 7 4 2 4" xfId="5090" xr:uid="{00000000-0005-0000-0000-00005E070000}"/>
    <cellStyle name="40% - Accent1 7 4 2 5" xfId="5091" xr:uid="{00000000-0005-0000-0000-00005F070000}"/>
    <cellStyle name="40% - Accent1 7 4 2 6" xfId="5092" xr:uid="{00000000-0005-0000-0000-000060070000}"/>
    <cellStyle name="40% - Accent1 7 4 2 7" xfId="5093" xr:uid="{00000000-0005-0000-0000-000061070000}"/>
    <cellStyle name="40% - Accent1 7 4 2 8" xfId="5094" xr:uid="{00000000-0005-0000-0000-000062070000}"/>
    <cellStyle name="40% - Accent1 7 4 3" xfId="5095" xr:uid="{00000000-0005-0000-0000-000063070000}"/>
    <cellStyle name="40% - Accent1 7 4 3 2" xfId="5096" xr:uid="{00000000-0005-0000-0000-000064070000}"/>
    <cellStyle name="40% - Accent1 7 4 3 2 2" xfId="5097" xr:uid="{00000000-0005-0000-0000-000065070000}"/>
    <cellStyle name="40% - Accent1 7 4 3 3" xfId="5098" xr:uid="{00000000-0005-0000-0000-000066070000}"/>
    <cellStyle name="40% - Accent1 7 4 3 4" xfId="5099" xr:uid="{00000000-0005-0000-0000-000067070000}"/>
    <cellStyle name="40% - Accent1 7 4 4" xfId="5100" xr:uid="{00000000-0005-0000-0000-000068070000}"/>
    <cellStyle name="40% - Accent1 7 4 4 2" xfId="5101" xr:uid="{00000000-0005-0000-0000-000069070000}"/>
    <cellStyle name="40% - Accent1 7 4 5" xfId="5102" xr:uid="{00000000-0005-0000-0000-00006A070000}"/>
    <cellStyle name="40% - Accent1 7 4 5 2" xfId="5103" xr:uid="{00000000-0005-0000-0000-00006B070000}"/>
    <cellStyle name="40% - Accent1 7 4 6" xfId="5104" xr:uid="{00000000-0005-0000-0000-00006C070000}"/>
    <cellStyle name="40% - Accent1 7 4 6 2" xfId="5105" xr:uid="{00000000-0005-0000-0000-00006D070000}"/>
    <cellStyle name="40% - Accent1 7 4 7" xfId="5106" xr:uid="{00000000-0005-0000-0000-00006E070000}"/>
    <cellStyle name="40% - Accent1 7 4 8" xfId="5107" xr:uid="{00000000-0005-0000-0000-00006F070000}"/>
    <cellStyle name="40% - Accent1 7 4 9" xfId="5108" xr:uid="{00000000-0005-0000-0000-000070070000}"/>
    <cellStyle name="40% - Accent1 7 5" xfId="5109" xr:uid="{00000000-0005-0000-0000-000071070000}"/>
    <cellStyle name="40% - Accent1 7 5 2" xfId="5110" xr:uid="{00000000-0005-0000-0000-000072070000}"/>
    <cellStyle name="40% - Accent1 7 5 2 2" xfId="5111" xr:uid="{00000000-0005-0000-0000-000073070000}"/>
    <cellStyle name="40% - Accent1 7 5 2 3" xfId="5112" xr:uid="{00000000-0005-0000-0000-000074070000}"/>
    <cellStyle name="40% - Accent1 7 5 3" xfId="5113" xr:uid="{00000000-0005-0000-0000-000075070000}"/>
    <cellStyle name="40% - Accent1 7 5 3 2" xfId="5114" xr:uid="{00000000-0005-0000-0000-000076070000}"/>
    <cellStyle name="40% - Accent1 7 5 4" xfId="5115" xr:uid="{00000000-0005-0000-0000-000077070000}"/>
    <cellStyle name="40% - Accent1 7 5 5" xfId="5116" xr:uid="{00000000-0005-0000-0000-000078070000}"/>
    <cellStyle name="40% - Accent1 7 5 6" xfId="5117" xr:uid="{00000000-0005-0000-0000-000079070000}"/>
    <cellStyle name="40% - Accent1 7 5 7" xfId="5118" xr:uid="{00000000-0005-0000-0000-00007A070000}"/>
    <cellStyle name="40% - Accent1 7 5 8" xfId="5119" xr:uid="{00000000-0005-0000-0000-00007B070000}"/>
    <cellStyle name="40% - Accent1 7 6" xfId="5120" xr:uid="{00000000-0005-0000-0000-00007C070000}"/>
    <cellStyle name="40% - Accent1 7 6 2" xfId="5121" xr:uid="{00000000-0005-0000-0000-00007D070000}"/>
    <cellStyle name="40% - Accent1 7 6 2 2" xfId="5122" xr:uid="{00000000-0005-0000-0000-00007E070000}"/>
    <cellStyle name="40% - Accent1 7 6 3" xfId="5123" xr:uid="{00000000-0005-0000-0000-00007F070000}"/>
    <cellStyle name="40% - Accent1 7 6 4" xfId="5124" xr:uid="{00000000-0005-0000-0000-000080070000}"/>
    <cellStyle name="40% - Accent1 7 7" xfId="5125" xr:uid="{00000000-0005-0000-0000-000081070000}"/>
    <cellStyle name="40% - Accent1 7 7 2" xfId="5126" xr:uid="{00000000-0005-0000-0000-000082070000}"/>
    <cellStyle name="40% - Accent1 7 8" xfId="5127" xr:uid="{00000000-0005-0000-0000-000083070000}"/>
    <cellStyle name="40% - Accent1 7 8 2" xfId="5128" xr:uid="{00000000-0005-0000-0000-000084070000}"/>
    <cellStyle name="40% - Accent1 7 9" xfId="5129" xr:uid="{00000000-0005-0000-0000-000085070000}"/>
    <cellStyle name="40% - Accent1 7 9 2" xfId="5130" xr:uid="{00000000-0005-0000-0000-000086070000}"/>
    <cellStyle name="40% - Accent1 8" xfId="5131" xr:uid="{00000000-0005-0000-0000-000087070000}"/>
    <cellStyle name="40% - Accent1 9" xfId="5132" xr:uid="{00000000-0005-0000-0000-000088070000}"/>
    <cellStyle name="40% - Accent1 9 2" xfId="5133" xr:uid="{00000000-0005-0000-0000-000089070000}"/>
    <cellStyle name="40% - Accent1 9 3" xfId="5134" xr:uid="{00000000-0005-0000-0000-00008A070000}"/>
    <cellStyle name="40% - Accent2 10" xfId="5135" xr:uid="{00000000-0005-0000-0000-00008B070000}"/>
    <cellStyle name="40% - Accent2 11" xfId="5136" xr:uid="{00000000-0005-0000-0000-00008C070000}"/>
    <cellStyle name="40% - Accent2 2" xfId="3005" xr:uid="{00000000-0005-0000-0000-00008D070000}"/>
    <cellStyle name="40% - Accent2 2 2" xfId="5137" xr:uid="{00000000-0005-0000-0000-00008E070000}"/>
    <cellStyle name="40% - Accent2 2 2 2" xfId="5138" xr:uid="{00000000-0005-0000-0000-00008F070000}"/>
    <cellStyle name="40% - Accent2 2 3" xfId="5139" xr:uid="{00000000-0005-0000-0000-000090070000}"/>
    <cellStyle name="40% - Accent2 2 4" xfId="5140" xr:uid="{00000000-0005-0000-0000-000091070000}"/>
    <cellStyle name="40% - Accent2 2 5" xfId="5141" xr:uid="{00000000-0005-0000-0000-000092070000}"/>
    <cellStyle name="40% - Accent2 2 6" xfId="5142" xr:uid="{00000000-0005-0000-0000-000093070000}"/>
    <cellStyle name="40% - Accent2 3" xfId="3006" xr:uid="{00000000-0005-0000-0000-000094070000}"/>
    <cellStyle name="40% - Accent2 3 2" xfId="5143" xr:uid="{00000000-0005-0000-0000-000095070000}"/>
    <cellStyle name="40% - Accent2 3 2 2" xfId="5144" xr:uid="{00000000-0005-0000-0000-000096070000}"/>
    <cellStyle name="40% - Accent2 3 3" xfId="5145" xr:uid="{00000000-0005-0000-0000-000097070000}"/>
    <cellStyle name="40% - Accent2 3 4" xfId="5146" xr:uid="{00000000-0005-0000-0000-000098070000}"/>
    <cellStyle name="40% - Accent2 4" xfId="3189" xr:uid="{00000000-0005-0000-0000-000099070000}"/>
    <cellStyle name="40% - Accent2 4 2" xfId="5147" xr:uid="{00000000-0005-0000-0000-00009A070000}"/>
    <cellStyle name="40% - Accent2 4 3" xfId="5148" xr:uid="{00000000-0005-0000-0000-00009B070000}"/>
    <cellStyle name="40% - Accent2 4 4" xfId="5149" xr:uid="{00000000-0005-0000-0000-00009C070000}"/>
    <cellStyle name="40% - Accent2 5" xfId="5150" xr:uid="{00000000-0005-0000-0000-00009D070000}"/>
    <cellStyle name="40% - Accent2 5 2" xfId="5151" xr:uid="{00000000-0005-0000-0000-00009E070000}"/>
    <cellStyle name="40% - Accent2 6" xfId="5152" xr:uid="{00000000-0005-0000-0000-00009F070000}"/>
    <cellStyle name="40% - Accent2 6 2" xfId="5153" xr:uid="{00000000-0005-0000-0000-0000A0070000}"/>
    <cellStyle name="40% - Accent2 7" xfId="5154" xr:uid="{00000000-0005-0000-0000-0000A1070000}"/>
    <cellStyle name="40% - Accent2 7 10" xfId="5155" xr:uid="{00000000-0005-0000-0000-0000A2070000}"/>
    <cellStyle name="40% - Accent2 7 11" xfId="5156" xr:uid="{00000000-0005-0000-0000-0000A3070000}"/>
    <cellStyle name="40% - Accent2 7 12" xfId="5157" xr:uid="{00000000-0005-0000-0000-0000A4070000}"/>
    <cellStyle name="40% - Accent2 7 13" xfId="5158" xr:uid="{00000000-0005-0000-0000-0000A5070000}"/>
    <cellStyle name="40% - Accent2 7 14" xfId="5159" xr:uid="{00000000-0005-0000-0000-0000A6070000}"/>
    <cellStyle name="40% - Accent2 7 2" xfId="5160" xr:uid="{00000000-0005-0000-0000-0000A7070000}"/>
    <cellStyle name="40% - Accent2 7 2 10" xfId="5161" xr:uid="{00000000-0005-0000-0000-0000A8070000}"/>
    <cellStyle name="40% - Accent2 7 2 11" xfId="5162" xr:uid="{00000000-0005-0000-0000-0000A9070000}"/>
    <cellStyle name="40% - Accent2 7 2 12" xfId="5163" xr:uid="{00000000-0005-0000-0000-0000AA070000}"/>
    <cellStyle name="40% - Accent2 7 2 13" xfId="5164" xr:uid="{00000000-0005-0000-0000-0000AB070000}"/>
    <cellStyle name="40% - Accent2 7 2 2" xfId="5165" xr:uid="{00000000-0005-0000-0000-0000AC070000}"/>
    <cellStyle name="40% - Accent2 7 2 2 10" xfId="5166" xr:uid="{00000000-0005-0000-0000-0000AD070000}"/>
    <cellStyle name="40% - Accent2 7 2 2 11" xfId="5167" xr:uid="{00000000-0005-0000-0000-0000AE070000}"/>
    <cellStyle name="40% - Accent2 7 2 2 12" xfId="5168" xr:uid="{00000000-0005-0000-0000-0000AF070000}"/>
    <cellStyle name="40% - Accent2 7 2 2 2" xfId="5169" xr:uid="{00000000-0005-0000-0000-0000B0070000}"/>
    <cellStyle name="40% - Accent2 7 2 2 2 10" xfId="5170" xr:uid="{00000000-0005-0000-0000-0000B1070000}"/>
    <cellStyle name="40% - Accent2 7 2 2 2 11" xfId="5171" xr:uid="{00000000-0005-0000-0000-0000B2070000}"/>
    <cellStyle name="40% - Accent2 7 2 2 2 2" xfId="5172" xr:uid="{00000000-0005-0000-0000-0000B3070000}"/>
    <cellStyle name="40% - Accent2 7 2 2 2 2 2" xfId="5173" xr:uid="{00000000-0005-0000-0000-0000B4070000}"/>
    <cellStyle name="40% - Accent2 7 2 2 2 2 2 2" xfId="5174" xr:uid="{00000000-0005-0000-0000-0000B5070000}"/>
    <cellStyle name="40% - Accent2 7 2 2 2 2 2 3" xfId="5175" xr:uid="{00000000-0005-0000-0000-0000B6070000}"/>
    <cellStyle name="40% - Accent2 7 2 2 2 2 3" xfId="5176" xr:uid="{00000000-0005-0000-0000-0000B7070000}"/>
    <cellStyle name="40% - Accent2 7 2 2 2 2 3 2" xfId="5177" xr:uid="{00000000-0005-0000-0000-0000B8070000}"/>
    <cellStyle name="40% - Accent2 7 2 2 2 2 4" xfId="5178" xr:uid="{00000000-0005-0000-0000-0000B9070000}"/>
    <cellStyle name="40% - Accent2 7 2 2 2 2 5" xfId="5179" xr:uid="{00000000-0005-0000-0000-0000BA070000}"/>
    <cellStyle name="40% - Accent2 7 2 2 2 2 6" xfId="5180" xr:uid="{00000000-0005-0000-0000-0000BB070000}"/>
    <cellStyle name="40% - Accent2 7 2 2 2 2 7" xfId="5181" xr:uid="{00000000-0005-0000-0000-0000BC070000}"/>
    <cellStyle name="40% - Accent2 7 2 2 2 2 8" xfId="5182" xr:uid="{00000000-0005-0000-0000-0000BD070000}"/>
    <cellStyle name="40% - Accent2 7 2 2 2 3" xfId="5183" xr:uid="{00000000-0005-0000-0000-0000BE070000}"/>
    <cellStyle name="40% - Accent2 7 2 2 2 3 2" xfId="5184" xr:uid="{00000000-0005-0000-0000-0000BF070000}"/>
    <cellStyle name="40% - Accent2 7 2 2 2 3 2 2" xfId="5185" xr:uid="{00000000-0005-0000-0000-0000C0070000}"/>
    <cellStyle name="40% - Accent2 7 2 2 2 3 3" xfId="5186" xr:uid="{00000000-0005-0000-0000-0000C1070000}"/>
    <cellStyle name="40% - Accent2 7 2 2 2 3 4" xfId="5187" xr:uid="{00000000-0005-0000-0000-0000C2070000}"/>
    <cellStyle name="40% - Accent2 7 2 2 2 4" xfId="5188" xr:uid="{00000000-0005-0000-0000-0000C3070000}"/>
    <cellStyle name="40% - Accent2 7 2 2 2 4 2" xfId="5189" xr:uid="{00000000-0005-0000-0000-0000C4070000}"/>
    <cellStyle name="40% - Accent2 7 2 2 2 5" xfId="5190" xr:uid="{00000000-0005-0000-0000-0000C5070000}"/>
    <cellStyle name="40% - Accent2 7 2 2 2 5 2" xfId="5191" xr:uid="{00000000-0005-0000-0000-0000C6070000}"/>
    <cellStyle name="40% - Accent2 7 2 2 2 6" xfId="5192" xr:uid="{00000000-0005-0000-0000-0000C7070000}"/>
    <cellStyle name="40% - Accent2 7 2 2 2 6 2" xfId="5193" xr:uid="{00000000-0005-0000-0000-0000C8070000}"/>
    <cellStyle name="40% - Accent2 7 2 2 2 7" xfId="5194" xr:uid="{00000000-0005-0000-0000-0000C9070000}"/>
    <cellStyle name="40% - Accent2 7 2 2 2 8" xfId="5195" xr:uid="{00000000-0005-0000-0000-0000CA070000}"/>
    <cellStyle name="40% - Accent2 7 2 2 2 9" xfId="5196" xr:uid="{00000000-0005-0000-0000-0000CB070000}"/>
    <cellStyle name="40% - Accent2 7 2 2 3" xfId="5197" xr:uid="{00000000-0005-0000-0000-0000CC070000}"/>
    <cellStyle name="40% - Accent2 7 2 2 3 2" xfId="5198" xr:uid="{00000000-0005-0000-0000-0000CD070000}"/>
    <cellStyle name="40% - Accent2 7 2 2 3 2 2" xfId="5199" xr:uid="{00000000-0005-0000-0000-0000CE070000}"/>
    <cellStyle name="40% - Accent2 7 2 2 3 2 3" xfId="5200" xr:uid="{00000000-0005-0000-0000-0000CF070000}"/>
    <cellStyle name="40% - Accent2 7 2 2 3 3" xfId="5201" xr:uid="{00000000-0005-0000-0000-0000D0070000}"/>
    <cellStyle name="40% - Accent2 7 2 2 3 3 2" xfId="5202" xr:uid="{00000000-0005-0000-0000-0000D1070000}"/>
    <cellStyle name="40% - Accent2 7 2 2 3 4" xfId="5203" xr:uid="{00000000-0005-0000-0000-0000D2070000}"/>
    <cellStyle name="40% - Accent2 7 2 2 3 5" xfId="5204" xr:uid="{00000000-0005-0000-0000-0000D3070000}"/>
    <cellStyle name="40% - Accent2 7 2 2 3 6" xfId="5205" xr:uid="{00000000-0005-0000-0000-0000D4070000}"/>
    <cellStyle name="40% - Accent2 7 2 2 3 7" xfId="5206" xr:uid="{00000000-0005-0000-0000-0000D5070000}"/>
    <cellStyle name="40% - Accent2 7 2 2 3 8" xfId="5207" xr:uid="{00000000-0005-0000-0000-0000D6070000}"/>
    <cellStyle name="40% - Accent2 7 2 2 4" xfId="5208" xr:uid="{00000000-0005-0000-0000-0000D7070000}"/>
    <cellStyle name="40% - Accent2 7 2 2 4 2" xfId="5209" xr:uid="{00000000-0005-0000-0000-0000D8070000}"/>
    <cellStyle name="40% - Accent2 7 2 2 4 2 2" xfId="5210" xr:uid="{00000000-0005-0000-0000-0000D9070000}"/>
    <cellStyle name="40% - Accent2 7 2 2 4 3" xfId="5211" xr:uid="{00000000-0005-0000-0000-0000DA070000}"/>
    <cellStyle name="40% - Accent2 7 2 2 4 4" xfId="5212" xr:uid="{00000000-0005-0000-0000-0000DB070000}"/>
    <cellStyle name="40% - Accent2 7 2 2 5" xfId="5213" xr:uid="{00000000-0005-0000-0000-0000DC070000}"/>
    <cellStyle name="40% - Accent2 7 2 2 5 2" xfId="5214" xr:uid="{00000000-0005-0000-0000-0000DD070000}"/>
    <cellStyle name="40% - Accent2 7 2 2 6" xfId="5215" xr:uid="{00000000-0005-0000-0000-0000DE070000}"/>
    <cellStyle name="40% - Accent2 7 2 2 6 2" xfId="5216" xr:uid="{00000000-0005-0000-0000-0000DF070000}"/>
    <cellStyle name="40% - Accent2 7 2 2 7" xfId="5217" xr:uid="{00000000-0005-0000-0000-0000E0070000}"/>
    <cellStyle name="40% - Accent2 7 2 2 7 2" xfId="5218" xr:uid="{00000000-0005-0000-0000-0000E1070000}"/>
    <cellStyle name="40% - Accent2 7 2 2 8" xfId="5219" xr:uid="{00000000-0005-0000-0000-0000E2070000}"/>
    <cellStyle name="40% - Accent2 7 2 2 9" xfId="5220" xr:uid="{00000000-0005-0000-0000-0000E3070000}"/>
    <cellStyle name="40% - Accent2 7 2 3" xfId="5221" xr:uid="{00000000-0005-0000-0000-0000E4070000}"/>
    <cellStyle name="40% - Accent2 7 2 3 10" xfId="5222" xr:uid="{00000000-0005-0000-0000-0000E5070000}"/>
    <cellStyle name="40% - Accent2 7 2 3 11" xfId="5223" xr:uid="{00000000-0005-0000-0000-0000E6070000}"/>
    <cellStyle name="40% - Accent2 7 2 3 2" xfId="5224" xr:uid="{00000000-0005-0000-0000-0000E7070000}"/>
    <cellStyle name="40% - Accent2 7 2 3 2 2" xfId="5225" xr:uid="{00000000-0005-0000-0000-0000E8070000}"/>
    <cellStyle name="40% - Accent2 7 2 3 2 2 2" xfId="5226" xr:uid="{00000000-0005-0000-0000-0000E9070000}"/>
    <cellStyle name="40% - Accent2 7 2 3 2 2 3" xfId="5227" xr:uid="{00000000-0005-0000-0000-0000EA070000}"/>
    <cellStyle name="40% - Accent2 7 2 3 2 3" xfId="5228" xr:uid="{00000000-0005-0000-0000-0000EB070000}"/>
    <cellStyle name="40% - Accent2 7 2 3 2 3 2" xfId="5229" xr:uid="{00000000-0005-0000-0000-0000EC070000}"/>
    <cellStyle name="40% - Accent2 7 2 3 2 4" xfId="5230" xr:uid="{00000000-0005-0000-0000-0000ED070000}"/>
    <cellStyle name="40% - Accent2 7 2 3 2 5" xfId="5231" xr:uid="{00000000-0005-0000-0000-0000EE070000}"/>
    <cellStyle name="40% - Accent2 7 2 3 2 6" xfId="5232" xr:uid="{00000000-0005-0000-0000-0000EF070000}"/>
    <cellStyle name="40% - Accent2 7 2 3 2 7" xfId="5233" xr:uid="{00000000-0005-0000-0000-0000F0070000}"/>
    <cellStyle name="40% - Accent2 7 2 3 2 8" xfId="5234" xr:uid="{00000000-0005-0000-0000-0000F1070000}"/>
    <cellStyle name="40% - Accent2 7 2 3 3" xfId="5235" xr:uid="{00000000-0005-0000-0000-0000F2070000}"/>
    <cellStyle name="40% - Accent2 7 2 3 3 2" xfId="5236" xr:uid="{00000000-0005-0000-0000-0000F3070000}"/>
    <cellStyle name="40% - Accent2 7 2 3 3 2 2" xfId="5237" xr:uid="{00000000-0005-0000-0000-0000F4070000}"/>
    <cellStyle name="40% - Accent2 7 2 3 3 3" xfId="5238" xr:uid="{00000000-0005-0000-0000-0000F5070000}"/>
    <cellStyle name="40% - Accent2 7 2 3 3 4" xfId="5239" xr:uid="{00000000-0005-0000-0000-0000F6070000}"/>
    <cellStyle name="40% - Accent2 7 2 3 4" xfId="5240" xr:uid="{00000000-0005-0000-0000-0000F7070000}"/>
    <cellStyle name="40% - Accent2 7 2 3 4 2" xfId="5241" xr:uid="{00000000-0005-0000-0000-0000F8070000}"/>
    <cellStyle name="40% - Accent2 7 2 3 5" xfId="5242" xr:uid="{00000000-0005-0000-0000-0000F9070000}"/>
    <cellStyle name="40% - Accent2 7 2 3 5 2" xfId="5243" xr:uid="{00000000-0005-0000-0000-0000FA070000}"/>
    <cellStyle name="40% - Accent2 7 2 3 6" xfId="5244" xr:uid="{00000000-0005-0000-0000-0000FB070000}"/>
    <cellStyle name="40% - Accent2 7 2 3 6 2" xfId="5245" xr:uid="{00000000-0005-0000-0000-0000FC070000}"/>
    <cellStyle name="40% - Accent2 7 2 3 7" xfId="5246" xr:uid="{00000000-0005-0000-0000-0000FD070000}"/>
    <cellStyle name="40% - Accent2 7 2 3 8" xfId="5247" xr:uid="{00000000-0005-0000-0000-0000FE070000}"/>
    <cellStyle name="40% - Accent2 7 2 3 9" xfId="5248" xr:uid="{00000000-0005-0000-0000-0000FF070000}"/>
    <cellStyle name="40% - Accent2 7 2 4" xfId="5249" xr:uid="{00000000-0005-0000-0000-000000080000}"/>
    <cellStyle name="40% - Accent2 7 2 4 2" xfId="5250" xr:uid="{00000000-0005-0000-0000-000001080000}"/>
    <cellStyle name="40% - Accent2 7 2 4 2 2" xfId="5251" xr:uid="{00000000-0005-0000-0000-000002080000}"/>
    <cellStyle name="40% - Accent2 7 2 4 2 3" xfId="5252" xr:uid="{00000000-0005-0000-0000-000003080000}"/>
    <cellStyle name="40% - Accent2 7 2 4 3" xfId="5253" xr:uid="{00000000-0005-0000-0000-000004080000}"/>
    <cellStyle name="40% - Accent2 7 2 4 3 2" xfId="5254" xr:uid="{00000000-0005-0000-0000-000005080000}"/>
    <cellStyle name="40% - Accent2 7 2 4 4" xfId="5255" xr:uid="{00000000-0005-0000-0000-000006080000}"/>
    <cellStyle name="40% - Accent2 7 2 4 5" xfId="5256" xr:uid="{00000000-0005-0000-0000-000007080000}"/>
    <cellStyle name="40% - Accent2 7 2 4 6" xfId="5257" xr:uid="{00000000-0005-0000-0000-000008080000}"/>
    <cellStyle name="40% - Accent2 7 2 4 7" xfId="5258" xr:uid="{00000000-0005-0000-0000-000009080000}"/>
    <cellStyle name="40% - Accent2 7 2 4 8" xfId="5259" xr:uid="{00000000-0005-0000-0000-00000A080000}"/>
    <cellStyle name="40% - Accent2 7 2 5" xfId="5260" xr:uid="{00000000-0005-0000-0000-00000B080000}"/>
    <cellStyle name="40% - Accent2 7 2 5 2" xfId="5261" xr:uid="{00000000-0005-0000-0000-00000C080000}"/>
    <cellStyle name="40% - Accent2 7 2 5 2 2" xfId="5262" xr:uid="{00000000-0005-0000-0000-00000D080000}"/>
    <cellStyle name="40% - Accent2 7 2 5 3" xfId="5263" xr:uid="{00000000-0005-0000-0000-00000E080000}"/>
    <cellStyle name="40% - Accent2 7 2 5 4" xfId="5264" xr:uid="{00000000-0005-0000-0000-00000F080000}"/>
    <cellStyle name="40% - Accent2 7 2 6" xfId="5265" xr:uid="{00000000-0005-0000-0000-000010080000}"/>
    <cellStyle name="40% - Accent2 7 2 6 2" xfId="5266" xr:uid="{00000000-0005-0000-0000-000011080000}"/>
    <cellStyle name="40% - Accent2 7 2 7" xfId="5267" xr:uid="{00000000-0005-0000-0000-000012080000}"/>
    <cellStyle name="40% - Accent2 7 2 7 2" xfId="5268" xr:uid="{00000000-0005-0000-0000-000013080000}"/>
    <cellStyle name="40% - Accent2 7 2 8" xfId="5269" xr:uid="{00000000-0005-0000-0000-000014080000}"/>
    <cellStyle name="40% - Accent2 7 2 8 2" xfId="5270" xr:uid="{00000000-0005-0000-0000-000015080000}"/>
    <cellStyle name="40% - Accent2 7 2 9" xfId="5271" xr:uid="{00000000-0005-0000-0000-000016080000}"/>
    <cellStyle name="40% - Accent2 7 3" xfId="5272" xr:uid="{00000000-0005-0000-0000-000017080000}"/>
    <cellStyle name="40% - Accent2 7 3 10" xfId="5273" xr:uid="{00000000-0005-0000-0000-000018080000}"/>
    <cellStyle name="40% - Accent2 7 3 11" xfId="5274" xr:uid="{00000000-0005-0000-0000-000019080000}"/>
    <cellStyle name="40% - Accent2 7 3 12" xfId="5275" xr:uid="{00000000-0005-0000-0000-00001A080000}"/>
    <cellStyle name="40% - Accent2 7 3 2" xfId="5276" xr:uid="{00000000-0005-0000-0000-00001B080000}"/>
    <cellStyle name="40% - Accent2 7 3 2 10" xfId="5277" xr:uid="{00000000-0005-0000-0000-00001C080000}"/>
    <cellStyle name="40% - Accent2 7 3 2 11" xfId="5278" xr:uid="{00000000-0005-0000-0000-00001D080000}"/>
    <cellStyle name="40% - Accent2 7 3 2 2" xfId="5279" xr:uid="{00000000-0005-0000-0000-00001E080000}"/>
    <cellStyle name="40% - Accent2 7 3 2 2 2" xfId="5280" xr:uid="{00000000-0005-0000-0000-00001F080000}"/>
    <cellStyle name="40% - Accent2 7 3 2 2 2 2" xfId="5281" xr:uid="{00000000-0005-0000-0000-000020080000}"/>
    <cellStyle name="40% - Accent2 7 3 2 2 2 3" xfId="5282" xr:uid="{00000000-0005-0000-0000-000021080000}"/>
    <cellStyle name="40% - Accent2 7 3 2 2 3" xfId="5283" xr:uid="{00000000-0005-0000-0000-000022080000}"/>
    <cellStyle name="40% - Accent2 7 3 2 2 3 2" xfId="5284" xr:uid="{00000000-0005-0000-0000-000023080000}"/>
    <cellStyle name="40% - Accent2 7 3 2 2 4" xfId="5285" xr:uid="{00000000-0005-0000-0000-000024080000}"/>
    <cellStyle name="40% - Accent2 7 3 2 2 5" xfId="5286" xr:uid="{00000000-0005-0000-0000-000025080000}"/>
    <cellStyle name="40% - Accent2 7 3 2 2 6" xfId="5287" xr:uid="{00000000-0005-0000-0000-000026080000}"/>
    <cellStyle name="40% - Accent2 7 3 2 2 7" xfId="5288" xr:uid="{00000000-0005-0000-0000-000027080000}"/>
    <cellStyle name="40% - Accent2 7 3 2 2 8" xfId="5289" xr:uid="{00000000-0005-0000-0000-000028080000}"/>
    <cellStyle name="40% - Accent2 7 3 2 3" xfId="5290" xr:uid="{00000000-0005-0000-0000-000029080000}"/>
    <cellStyle name="40% - Accent2 7 3 2 3 2" xfId="5291" xr:uid="{00000000-0005-0000-0000-00002A080000}"/>
    <cellStyle name="40% - Accent2 7 3 2 3 2 2" xfId="5292" xr:uid="{00000000-0005-0000-0000-00002B080000}"/>
    <cellStyle name="40% - Accent2 7 3 2 3 3" xfId="5293" xr:uid="{00000000-0005-0000-0000-00002C080000}"/>
    <cellStyle name="40% - Accent2 7 3 2 3 4" xfId="5294" xr:uid="{00000000-0005-0000-0000-00002D080000}"/>
    <cellStyle name="40% - Accent2 7 3 2 4" xfId="5295" xr:uid="{00000000-0005-0000-0000-00002E080000}"/>
    <cellStyle name="40% - Accent2 7 3 2 4 2" xfId="5296" xr:uid="{00000000-0005-0000-0000-00002F080000}"/>
    <cellStyle name="40% - Accent2 7 3 2 5" xfId="5297" xr:uid="{00000000-0005-0000-0000-000030080000}"/>
    <cellStyle name="40% - Accent2 7 3 2 5 2" xfId="5298" xr:uid="{00000000-0005-0000-0000-000031080000}"/>
    <cellStyle name="40% - Accent2 7 3 2 6" xfId="5299" xr:uid="{00000000-0005-0000-0000-000032080000}"/>
    <cellStyle name="40% - Accent2 7 3 2 6 2" xfId="5300" xr:uid="{00000000-0005-0000-0000-000033080000}"/>
    <cellStyle name="40% - Accent2 7 3 2 7" xfId="5301" xr:uid="{00000000-0005-0000-0000-000034080000}"/>
    <cellStyle name="40% - Accent2 7 3 2 8" xfId="5302" xr:uid="{00000000-0005-0000-0000-000035080000}"/>
    <cellStyle name="40% - Accent2 7 3 2 9" xfId="5303" xr:uid="{00000000-0005-0000-0000-000036080000}"/>
    <cellStyle name="40% - Accent2 7 3 3" xfId="5304" xr:uid="{00000000-0005-0000-0000-000037080000}"/>
    <cellStyle name="40% - Accent2 7 3 3 2" xfId="5305" xr:uid="{00000000-0005-0000-0000-000038080000}"/>
    <cellStyle name="40% - Accent2 7 3 3 2 2" xfId="5306" xr:uid="{00000000-0005-0000-0000-000039080000}"/>
    <cellStyle name="40% - Accent2 7 3 3 2 3" xfId="5307" xr:uid="{00000000-0005-0000-0000-00003A080000}"/>
    <cellStyle name="40% - Accent2 7 3 3 3" xfId="5308" xr:uid="{00000000-0005-0000-0000-00003B080000}"/>
    <cellStyle name="40% - Accent2 7 3 3 3 2" xfId="5309" xr:uid="{00000000-0005-0000-0000-00003C080000}"/>
    <cellStyle name="40% - Accent2 7 3 3 4" xfId="5310" xr:uid="{00000000-0005-0000-0000-00003D080000}"/>
    <cellStyle name="40% - Accent2 7 3 3 5" xfId="5311" xr:uid="{00000000-0005-0000-0000-00003E080000}"/>
    <cellStyle name="40% - Accent2 7 3 3 6" xfId="5312" xr:uid="{00000000-0005-0000-0000-00003F080000}"/>
    <cellStyle name="40% - Accent2 7 3 3 7" xfId="5313" xr:uid="{00000000-0005-0000-0000-000040080000}"/>
    <cellStyle name="40% - Accent2 7 3 3 8" xfId="5314" xr:uid="{00000000-0005-0000-0000-000041080000}"/>
    <cellStyle name="40% - Accent2 7 3 4" xfId="5315" xr:uid="{00000000-0005-0000-0000-000042080000}"/>
    <cellStyle name="40% - Accent2 7 3 4 2" xfId="5316" xr:uid="{00000000-0005-0000-0000-000043080000}"/>
    <cellStyle name="40% - Accent2 7 3 4 2 2" xfId="5317" xr:uid="{00000000-0005-0000-0000-000044080000}"/>
    <cellStyle name="40% - Accent2 7 3 4 3" xfId="5318" xr:uid="{00000000-0005-0000-0000-000045080000}"/>
    <cellStyle name="40% - Accent2 7 3 4 4" xfId="5319" xr:uid="{00000000-0005-0000-0000-000046080000}"/>
    <cellStyle name="40% - Accent2 7 3 5" xfId="5320" xr:uid="{00000000-0005-0000-0000-000047080000}"/>
    <cellStyle name="40% - Accent2 7 3 5 2" xfId="5321" xr:uid="{00000000-0005-0000-0000-000048080000}"/>
    <cellStyle name="40% - Accent2 7 3 6" xfId="5322" xr:uid="{00000000-0005-0000-0000-000049080000}"/>
    <cellStyle name="40% - Accent2 7 3 6 2" xfId="5323" xr:uid="{00000000-0005-0000-0000-00004A080000}"/>
    <cellStyle name="40% - Accent2 7 3 7" xfId="5324" xr:uid="{00000000-0005-0000-0000-00004B080000}"/>
    <cellStyle name="40% - Accent2 7 3 7 2" xfId="5325" xr:uid="{00000000-0005-0000-0000-00004C080000}"/>
    <cellStyle name="40% - Accent2 7 3 8" xfId="5326" xr:uid="{00000000-0005-0000-0000-00004D080000}"/>
    <cellStyle name="40% - Accent2 7 3 9" xfId="5327" xr:uid="{00000000-0005-0000-0000-00004E080000}"/>
    <cellStyle name="40% - Accent2 7 4" xfId="5328" xr:uid="{00000000-0005-0000-0000-00004F080000}"/>
    <cellStyle name="40% - Accent2 7 4 10" xfId="5329" xr:uid="{00000000-0005-0000-0000-000050080000}"/>
    <cellStyle name="40% - Accent2 7 4 11" xfId="5330" xr:uid="{00000000-0005-0000-0000-000051080000}"/>
    <cellStyle name="40% - Accent2 7 4 2" xfId="5331" xr:uid="{00000000-0005-0000-0000-000052080000}"/>
    <cellStyle name="40% - Accent2 7 4 2 2" xfId="5332" xr:uid="{00000000-0005-0000-0000-000053080000}"/>
    <cellStyle name="40% - Accent2 7 4 2 2 2" xfId="5333" xr:uid="{00000000-0005-0000-0000-000054080000}"/>
    <cellStyle name="40% - Accent2 7 4 2 2 3" xfId="5334" xr:uid="{00000000-0005-0000-0000-000055080000}"/>
    <cellStyle name="40% - Accent2 7 4 2 3" xfId="5335" xr:uid="{00000000-0005-0000-0000-000056080000}"/>
    <cellStyle name="40% - Accent2 7 4 2 3 2" xfId="5336" xr:uid="{00000000-0005-0000-0000-000057080000}"/>
    <cellStyle name="40% - Accent2 7 4 2 4" xfId="5337" xr:uid="{00000000-0005-0000-0000-000058080000}"/>
    <cellStyle name="40% - Accent2 7 4 2 5" xfId="5338" xr:uid="{00000000-0005-0000-0000-000059080000}"/>
    <cellStyle name="40% - Accent2 7 4 2 6" xfId="5339" xr:uid="{00000000-0005-0000-0000-00005A080000}"/>
    <cellStyle name="40% - Accent2 7 4 2 7" xfId="5340" xr:uid="{00000000-0005-0000-0000-00005B080000}"/>
    <cellStyle name="40% - Accent2 7 4 2 8" xfId="5341" xr:uid="{00000000-0005-0000-0000-00005C080000}"/>
    <cellStyle name="40% - Accent2 7 4 3" xfId="5342" xr:uid="{00000000-0005-0000-0000-00005D080000}"/>
    <cellStyle name="40% - Accent2 7 4 3 2" xfId="5343" xr:uid="{00000000-0005-0000-0000-00005E080000}"/>
    <cellStyle name="40% - Accent2 7 4 3 2 2" xfId="5344" xr:uid="{00000000-0005-0000-0000-00005F080000}"/>
    <cellStyle name="40% - Accent2 7 4 3 3" xfId="5345" xr:uid="{00000000-0005-0000-0000-000060080000}"/>
    <cellStyle name="40% - Accent2 7 4 3 4" xfId="5346" xr:uid="{00000000-0005-0000-0000-000061080000}"/>
    <cellStyle name="40% - Accent2 7 4 4" xfId="5347" xr:uid="{00000000-0005-0000-0000-000062080000}"/>
    <cellStyle name="40% - Accent2 7 4 4 2" xfId="5348" xr:uid="{00000000-0005-0000-0000-000063080000}"/>
    <cellStyle name="40% - Accent2 7 4 5" xfId="5349" xr:uid="{00000000-0005-0000-0000-000064080000}"/>
    <cellStyle name="40% - Accent2 7 4 5 2" xfId="5350" xr:uid="{00000000-0005-0000-0000-000065080000}"/>
    <cellStyle name="40% - Accent2 7 4 6" xfId="5351" xr:uid="{00000000-0005-0000-0000-000066080000}"/>
    <cellStyle name="40% - Accent2 7 4 6 2" xfId="5352" xr:uid="{00000000-0005-0000-0000-000067080000}"/>
    <cellStyle name="40% - Accent2 7 4 7" xfId="5353" xr:uid="{00000000-0005-0000-0000-000068080000}"/>
    <cellStyle name="40% - Accent2 7 4 8" xfId="5354" xr:uid="{00000000-0005-0000-0000-000069080000}"/>
    <cellStyle name="40% - Accent2 7 4 9" xfId="5355" xr:uid="{00000000-0005-0000-0000-00006A080000}"/>
    <cellStyle name="40% - Accent2 7 5" xfId="5356" xr:uid="{00000000-0005-0000-0000-00006B080000}"/>
    <cellStyle name="40% - Accent2 7 5 2" xfId="5357" xr:uid="{00000000-0005-0000-0000-00006C080000}"/>
    <cellStyle name="40% - Accent2 7 5 2 2" xfId="5358" xr:uid="{00000000-0005-0000-0000-00006D080000}"/>
    <cellStyle name="40% - Accent2 7 5 2 3" xfId="5359" xr:uid="{00000000-0005-0000-0000-00006E080000}"/>
    <cellStyle name="40% - Accent2 7 5 3" xfId="5360" xr:uid="{00000000-0005-0000-0000-00006F080000}"/>
    <cellStyle name="40% - Accent2 7 5 3 2" xfId="5361" xr:uid="{00000000-0005-0000-0000-000070080000}"/>
    <cellStyle name="40% - Accent2 7 5 4" xfId="5362" xr:uid="{00000000-0005-0000-0000-000071080000}"/>
    <cellStyle name="40% - Accent2 7 5 5" xfId="5363" xr:uid="{00000000-0005-0000-0000-000072080000}"/>
    <cellStyle name="40% - Accent2 7 5 6" xfId="5364" xr:uid="{00000000-0005-0000-0000-000073080000}"/>
    <cellStyle name="40% - Accent2 7 5 7" xfId="5365" xr:uid="{00000000-0005-0000-0000-000074080000}"/>
    <cellStyle name="40% - Accent2 7 5 8" xfId="5366" xr:uid="{00000000-0005-0000-0000-000075080000}"/>
    <cellStyle name="40% - Accent2 7 6" xfId="5367" xr:uid="{00000000-0005-0000-0000-000076080000}"/>
    <cellStyle name="40% - Accent2 7 6 2" xfId="5368" xr:uid="{00000000-0005-0000-0000-000077080000}"/>
    <cellStyle name="40% - Accent2 7 6 2 2" xfId="5369" xr:uid="{00000000-0005-0000-0000-000078080000}"/>
    <cellStyle name="40% - Accent2 7 6 3" xfId="5370" xr:uid="{00000000-0005-0000-0000-000079080000}"/>
    <cellStyle name="40% - Accent2 7 6 4" xfId="5371" xr:uid="{00000000-0005-0000-0000-00007A080000}"/>
    <cellStyle name="40% - Accent2 7 7" xfId="5372" xr:uid="{00000000-0005-0000-0000-00007B080000}"/>
    <cellStyle name="40% - Accent2 7 7 2" xfId="5373" xr:uid="{00000000-0005-0000-0000-00007C080000}"/>
    <cellStyle name="40% - Accent2 7 8" xfId="5374" xr:uid="{00000000-0005-0000-0000-00007D080000}"/>
    <cellStyle name="40% - Accent2 7 8 2" xfId="5375" xr:uid="{00000000-0005-0000-0000-00007E080000}"/>
    <cellStyle name="40% - Accent2 7 9" xfId="5376" xr:uid="{00000000-0005-0000-0000-00007F080000}"/>
    <cellStyle name="40% - Accent2 7 9 2" xfId="5377" xr:uid="{00000000-0005-0000-0000-000080080000}"/>
    <cellStyle name="40% - Accent2 8" xfId="5378" xr:uid="{00000000-0005-0000-0000-000081080000}"/>
    <cellStyle name="40% - Accent2 9" xfId="5379" xr:uid="{00000000-0005-0000-0000-000082080000}"/>
    <cellStyle name="40% - Accent2 9 2" xfId="5380" xr:uid="{00000000-0005-0000-0000-000083080000}"/>
    <cellStyle name="40% - Accent2 9 3" xfId="5381" xr:uid="{00000000-0005-0000-0000-000084080000}"/>
    <cellStyle name="40% - Accent3 10" xfId="5382" xr:uid="{00000000-0005-0000-0000-000085080000}"/>
    <cellStyle name="40% - Accent3 11" xfId="5383" xr:uid="{00000000-0005-0000-0000-000086080000}"/>
    <cellStyle name="40% - Accent3 2" xfId="3007" xr:uid="{00000000-0005-0000-0000-000087080000}"/>
    <cellStyle name="40% - Accent3 2 2" xfId="5384" xr:uid="{00000000-0005-0000-0000-000088080000}"/>
    <cellStyle name="40% - Accent3 2 2 2" xfId="5385" xr:uid="{00000000-0005-0000-0000-000089080000}"/>
    <cellStyle name="40% - Accent3 2 3" xfId="5386" xr:uid="{00000000-0005-0000-0000-00008A080000}"/>
    <cellStyle name="40% - Accent3 2 4" xfId="5387" xr:uid="{00000000-0005-0000-0000-00008B080000}"/>
    <cellStyle name="40% - Accent3 2 5" xfId="5388" xr:uid="{00000000-0005-0000-0000-00008C080000}"/>
    <cellStyle name="40% - Accent3 2 6" xfId="5389" xr:uid="{00000000-0005-0000-0000-00008D080000}"/>
    <cellStyle name="40% - Accent3 2 7" xfId="5390" xr:uid="{00000000-0005-0000-0000-00008E080000}"/>
    <cellStyle name="40% - Accent3 3" xfId="3008" xr:uid="{00000000-0005-0000-0000-00008F080000}"/>
    <cellStyle name="40% - Accent3 3 2" xfId="5391" xr:uid="{00000000-0005-0000-0000-000090080000}"/>
    <cellStyle name="40% - Accent3 3 2 2" xfId="5392" xr:uid="{00000000-0005-0000-0000-000091080000}"/>
    <cellStyle name="40% - Accent3 3 3" xfId="5393" xr:uid="{00000000-0005-0000-0000-000092080000}"/>
    <cellStyle name="40% - Accent3 3 3 2" xfId="5394" xr:uid="{00000000-0005-0000-0000-000093080000}"/>
    <cellStyle name="40% - Accent3 3 4" xfId="5395" xr:uid="{00000000-0005-0000-0000-000094080000}"/>
    <cellStyle name="40% - Accent3 4" xfId="3190" xr:uid="{00000000-0005-0000-0000-000095080000}"/>
    <cellStyle name="40% - Accent3 4 2" xfId="5396" xr:uid="{00000000-0005-0000-0000-000096080000}"/>
    <cellStyle name="40% - Accent3 4 3" xfId="5397" xr:uid="{00000000-0005-0000-0000-000097080000}"/>
    <cellStyle name="40% - Accent3 4 4" xfId="5398" xr:uid="{00000000-0005-0000-0000-000098080000}"/>
    <cellStyle name="40% - Accent3 5" xfId="5399" xr:uid="{00000000-0005-0000-0000-000099080000}"/>
    <cellStyle name="40% - Accent3 5 2" xfId="5400" xr:uid="{00000000-0005-0000-0000-00009A080000}"/>
    <cellStyle name="40% - Accent3 6" xfId="5401" xr:uid="{00000000-0005-0000-0000-00009B080000}"/>
    <cellStyle name="40% - Accent3 6 2" xfId="5402" xr:uid="{00000000-0005-0000-0000-00009C080000}"/>
    <cellStyle name="40% - Accent3 7" xfId="5403" xr:uid="{00000000-0005-0000-0000-00009D080000}"/>
    <cellStyle name="40% - Accent3 7 10" xfId="5404" xr:uid="{00000000-0005-0000-0000-00009E080000}"/>
    <cellStyle name="40% - Accent3 7 11" xfId="5405" xr:uid="{00000000-0005-0000-0000-00009F080000}"/>
    <cellStyle name="40% - Accent3 7 12" xfId="5406" xr:uid="{00000000-0005-0000-0000-0000A0080000}"/>
    <cellStyle name="40% - Accent3 7 13" xfId="5407" xr:uid="{00000000-0005-0000-0000-0000A1080000}"/>
    <cellStyle name="40% - Accent3 7 14" xfId="5408" xr:uid="{00000000-0005-0000-0000-0000A2080000}"/>
    <cellStyle name="40% - Accent3 7 2" xfId="5409" xr:uid="{00000000-0005-0000-0000-0000A3080000}"/>
    <cellStyle name="40% - Accent3 7 2 10" xfId="5410" xr:uid="{00000000-0005-0000-0000-0000A4080000}"/>
    <cellStyle name="40% - Accent3 7 2 11" xfId="5411" xr:uid="{00000000-0005-0000-0000-0000A5080000}"/>
    <cellStyle name="40% - Accent3 7 2 12" xfId="5412" xr:uid="{00000000-0005-0000-0000-0000A6080000}"/>
    <cellStyle name="40% - Accent3 7 2 13" xfId="5413" xr:uid="{00000000-0005-0000-0000-0000A7080000}"/>
    <cellStyle name="40% - Accent3 7 2 2" xfId="5414" xr:uid="{00000000-0005-0000-0000-0000A8080000}"/>
    <cellStyle name="40% - Accent3 7 2 2 10" xfId="5415" xr:uid="{00000000-0005-0000-0000-0000A9080000}"/>
    <cellStyle name="40% - Accent3 7 2 2 11" xfId="5416" xr:uid="{00000000-0005-0000-0000-0000AA080000}"/>
    <cellStyle name="40% - Accent3 7 2 2 12" xfId="5417" xr:uid="{00000000-0005-0000-0000-0000AB080000}"/>
    <cellStyle name="40% - Accent3 7 2 2 2" xfId="5418" xr:uid="{00000000-0005-0000-0000-0000AC080000}"/>
    <cellStyle name="40% - Accent3 7 2 2 2 10" xfId="5419" xr:uid="{00000000-0005-0000-0000-0000AD080000}"/>
    <cellStyle name="40% - Accent3 7 2 2 2 11" xfId="5420" xr:uid="{00000000-0005-0000-0000-0000AE080000}"/>
    <cellStyle name="40% - Accent3 7 2 2 2 2" xfId="5421" xr:uid="{00000000-0005-0000-0000-0000AF080000}"/>
    <cellStyle name="40% - Accent3 7 2 2 2 2 2" xfId="5422" xr:uid="{00000000-0005-0000-0000-0000B0080000}"/>
    <cellStyle name="40% - Accent3 7 2 2 2 2 2 2" xfId="5423" xr:uid="{00000000-0005-0000-0000-0000B1080000}"/>
    <cellStyle name="40% - Accent3 7 2 2 2 2 2 3" xfId="5424" xr:uid="{00000000-0005-0000-0000-0000B2080000}"/>
    <cellStyle name="40% - Accent3 7 2 2 2 2 3" xfId="5425" xr:uid="{00000000-0005-0000-0000-0000B3080000}"/>
    <cellStyle name="40% - Accent3 7 2 2 2 2 3 2" xfId="5426" xr:uid="{00000000-0005-0000-0000-0000B4080000}"/>
    <cellStyle name="40% - Accent3 7 2 2 2 2 4" xfId="5427" xr:uid="{00000000-0005-0000-0000-0000B5080000}"/>
    <cellStyle name="40% - Accent3 7 2 2 2 2 5" xfId="5428" xr:uid="{00000000-0005-0000-0000-0000B6080000}"/>
    <cellStyle name="40% - Accent3 7 2 2 2 2 6" xfId="5429" xr:uid="{00000000-0005-0000-0000-0000B7080000}"/>
    <cellStyle name="40% - Accent3 7 2 2 2 2 7" xfId="5430" xr:uid="{00000000-0005-0000-0000-0000B8080000}"/>
    <cellStyle name="40% - Accent3 7 2 2 2 2 8" xfId="5431" xr:uid="{00000000-0005-0000-0000-0000B9080000}"/>
    <cellStyle name="40% - Accent3 7 2 2 2 3" xfId="5432" xr:uid="{00000000-0005-0000-0000-0000BA080000}"/>
    <cellStyle name="40% - Accent3 7 2 2 2 3 2" xfId="5433" xr:uid="{00000000-0005-0000-0000-0000BB080000}"/>
    <cellStyle name="40% - Accent3 7 2 2 2 3 2 2" xfId="5434" xr:uid="{00000000-0005-0000-0000-0000BC080000}"/>
    <cellStyle name="40% - Accent3 7 2 2 2 3 3" xfId="5435" xr:uid="{00000000-0005-0000-0000-0000BD080000}"/>
    <cellStyle name="40% - Accent3 7 2 2 2 3 4" xfId="5436" xr:uid="{00000000-0005-0000-0000-0000BE080000}"/>
    <cellStyle name="40% - Accent3 7 2 2 2 4" xfId="5437" xr:uid="{00000000-0005-0000-0000-0000BF080000}"/>
    <cellStyle name="40% - Accent3 7 2 2 2 4 2" xfId="5438" xr:uid="{00000000-0005-0000-0000-0000C0080000}"/>
    <cellStyle name="40% - Accent3 7 2 2 2 5" xfId="5439" xr:uid="{00000000-0005-0000-0000-0000C1080000}"/>
    <cellStyle name="40% - Accent3 7 2 2 2 5 2" xfId="5440" xr:uid="{00000000-0005-0000-0000-0000C2080000}"/>
    <cellStyle name="40% - Accent3 7 2 2 2 6" xfId="5441" xr:uid="{00000000-0005-0000-0000-0000C3080000}"/>
    <cellStyle name="40% - Accent3 7 2 2 2 6 2" xfId="5442" xr:uid="{00000000-0005-0000-0000-0000C4080000}"/>
    <cellStyle name="40% - Accent3 7 2 2 2 7" xfId="5443" xr:uid="{00000000-0005-0000-0000-0000C5080000}"/>
    <cellStyle name="40% - Accent3 7 2 2 2 8" xfId="5444" xr:uid="{00000000-0005-0000-0000-0000C6080000}"/>
    <cellStyle name="40% - Accent3 7 2 2 2 9" xfId="5445" xr:uid="{00000000-0005-0000-0000-0000C7080000}"/>
    <cellStyle name="40% - Accent3 7 2 2 3" xfId="5446" xr:uid="{00000000-0005-0000-0000-0000C8080000}"/>
    <cellStyle name="40% - Accent3 7 2 2 3 2" xfId="5447" xr:uid="{00000000-0005-0000-0000-0000C9080000}"/>
    <cellStyle name="40% - Accent3 7 2 2 3 2 2" xfId="5448" xr:uid="{00000000-0005-0000-0000-0000CA080000}"/>
    <cellStyle name="40% - Accent3 7 2 2 3 2 3" xfId="5449" xr:uid="{00000000-0005-0000-0000-0000CB080000}"/>
    <cellStyle name="40% - Accent3 7 2 2 3 3" xfId="5450" xr:uid="{00000000-0005-0000-0000-0000CC080000}"/>
    <cellStyle name="40% - Accent3 7 2 2 3 3 2" xfId="5451" xr:uid="{00000000-0005-0000-0000-0000CD080000}"/>
    <cellStyle name="40% - Accent3 7 2 2 3 4" xfId="5452" xr:uid="{00000000-0005-0000-0000-0000CE080000}"/>
    <cellStyle name="40% - Accent3 7 2 2 3 5" xfId="5453" xr:uid="{00000000-0005-0000-0000-0000CF080000}"/>
    <cellStyle name="40% - Accent3 7 2 2 3 6" xfId="5454" xr:uid="{00000000-0005-0000-0000-0000D0080000}"/>
    <cellStyle name="40% - Accent3 7 2 2 3 7" xfId="5455" xr:uid="{00000000-0005-0000-0000-0000D1080000}"/>
    <cellStyle name="40% - Accent3 7 2 2 3 8" xfId="5456" xr:uid="{00000000-0005-0000-0000-0000D2080000}"/>
    <cellStyle name="40% - Accent3 7 2 2 4" xfId="5457" xr:uid="{00000000-0005-0000-0000-0000D3080000}"/>
    <cellStyle name="40% - Accent3 7 2 2 4 2" xfId="5458" xr:uid="{00000000-0005-0000-0000-0000D4080000}"/>
    <cellStyle name="40% - Accent3 7 2 2 4 2 2" xfId="5459" xr:uid="{00000000-0005-0000-0000-0000D5080000}"/>
    <cellStyle name="40% - Accent3 7 2 2 4 3" xfId="5460" xr:uid="{00000000-0005-0000-0000-0000D6080000}"/>
    <cellStyle name="40% - Accent3 7 2 2 4 4" xfId="5461" xr:uid="{00000000-0005-0000-0000-0000D7080000}"/>
    <cellStyle name="40% - Accent3 7 2 2 5" xfId="5462" xr:uid="{00000000-0005-0000-0000-0000D8080000}"/>
    <cellStyle name="40% - Accent3 7 2 2 5 2" xfId="5463" xr:uid="{00000000-0005-0000-0000-0000D9080000}"/>
    <cellStyle name="40% - Accent3 7 2 2 6" xfId="5464" xr:uid="{00000000-0005-0000-0000-0000DA080000}"/>
    <cellStyle name="40% - Accent3 7 2 2 6 2" xfId="5465" xr:uid="{00000000-0005-0000-0000-0000DB080000}"/>
    <cellStyle name="40% - Accent3 7 2 2 7" xfId="5466" xr:uid="{00000000-0005-0000-0000-0000DC080000}"/>
    <cellStyle name="40% - Accent3 7 2 2 7 2" xfId="5467" xr:uid="{00000000-0005-0000-0000-0000DD080000}"/>
    <cellStyle name="40% - Accent3 7 2 2 8" xfId="5468" xr:uid="{00000000-0005-0000-0000-0000DE080000}"/>
    <cellStyle name="40% - Accent3 7 2 2 9" xfId="5469" xr:uid="{00000000-0005-0000-0000-0000DF080000}"/>
    <cellStyle name="40% - Accent3 7 2 3" xfId="5470" xr:uid="{00000000-0005-0000-0000-0000E0080000}"/>
    <cellStyle name="40% - Accent3 7 2 3 10" xfId="5471" xr:uid="{00000000-0005-0000-0000-0000E1080000}"/>
    <cellStyle name="40% - Accent3 7 2 3 11" xfId="5472" xr:uid="{00000000-0005-0000-0000-0000E2080000}"/>
    <cellStyle name="40% - Accent3 7 2 3 2" xfId="5473" xr:uid="{00000000-0005-0000-0000-0000E3080000}"/>
    <cellStyle name="40% - Accent3 7 2 3 2 2" xfId="5474" xr:uid="{00000000-0005-0000-0000-0000E4080000}"/>
    <cellStyle name="40% - Accent3 7 2 3 2 2 2" xfId="5475" xr:uid="{00000000-0005-0000-0000-0000E5080000}"/>
    <cellStyle name="40% - Accent3 7 2 3 2 2 3" xfId="5476" xr:uid="{00000000-0005-0000-0000-0000E6080000}"/>
    <cellStyle name="40% - Accent3 7 2 3 2 3" xfId="5477" xr:uid="{00000000-0005-0000-0000-0000E7080000}"/>
    <cellStyle name="40% - Accent3 7 2 3 2 3 2" xfId="5478" xr:uid="{00000000-0005-0000-0000-0000E8080000}"/>
    <cellStyle name="40% - Accent3 7 2 3 2 4" xfId="5479" xr:uid="{00000000-0005-0000-0000-0000E9080000}"/>
    <cellStyle name="40% - Accent3 7 2 3 2 5" xfId="5480" xr:uid="{00000000-0005-0000-0000-0000EA080000}"/>
    <cellStyle name="40% - Accent3 7 2 3 2 6" xfId="5481" xr:uid="{00000000-0005-0000-0000-0000EB080000}"/>
    <cellStyle name="40% - Accent3 7 2 3 2 7" xfId="5482" xr:uid="{00000000-0005-0000-0000-0000EC080000}"/>
    <cellStyle name="40% - Accent3 7 2 3 2 8" xfId="5483" xr:uid="{00000000-0005-0000-0000-0000ED080000}"/>
    <cellStyle name="40% - Accent3 7 2 3 3" xfId="5484" xr:uid="{00000000-0005-0000-0000-0000EE080000}"/>
    <cellStyle name="40% - Accent3 7 2 3 3 2" xfId="5485" xr:uid="{00000000-0005-0000-0000-0000EF080000}"/>
    <cellStyle name="40% - Accent3 7 2 3 3 2 2" xfId="5486" xr:uid="{00000000-0005-0000-0000-0000F0080000}"/>
    <cellStyle name="40% - Accent3 7 2 3 3 3" xfId="5487" xr:uid="{00000000-0005-0000-0000-0000F1080000}"/>
    <cellStyle name="40% - Accent3 7 2 3 3 4" xfId="5488" xr:uid="{00000000-0005-0000-0000-0000F2080000}"/>
    <cellStyle name="40% - Accent3 7 2 3 4" xfId="5489" xr:uid="{00000000-0005-0000-0000-0000F3080000}"/>
    <cellStyle name="40% - Accent3 7 2 3 4 2" xfId="5490" xr:uid="{00000000-0005-0000-0000-0000F4080000}"/>
    <cellStyle name="40% - Accent3 7 2 3 5" xfId="5491" xr:uid="{00000000-0005-0000-0000-0000F5080000}"/>
    <cellStyle name="40% - Accent3 7 2 3 5 2" xfId="5492" xr:uid="{00000000-0005-0000-0000-0000F6080000}"/>
    <cellStyle name="40% - Accent3 7 2 3 6" xfId="5493" xr:uid="{00000000-0005-0000-0000-0000F7080000}"/>
    <cellStyle name="40% - Accent3 7 2 3 6 2" xfId="5494" xr:uid="{00000000-0005-0000-0000-0000F8080000}"/>
    <cellStyle name="40% - Accent3 7 2 3 7" xfId="5495" xr:uid="{00000000-0005-0000-0000-0000F9080000}"/>
    <cellStyle name="40% - Accent3 7 2 3 8" xfId="5496" xr:uid="{00000000-0005-0000-0000-0000FA080000}"/>
    <cellStyle name="40% - Accent3 7 2 3 9" xfId="5497" xr:uid="{00000000-0005-0000-0000-0000FB080000}"/>
    <cellStyle name="40% - Accent3 7 2 4" xfId="5498" xr:uid="{00000000-0005-0000-0000-0000FC080000}"/>
    <cellStyle name="40% - Accent3 7 2 4 2" xfId="5499" xr:uid="{00000000-0005-0000-0000-0000FD080000}"/>
    <cellStyle name="40% - Accent3 7 2 4 2 2" xfId="5500" xr:uid="{00000000-0005-0000-0000-0000FE080000}"/>
    <cellStyle name="40% - Accent3 7 2 4 2 3" xfId="5501" xr:uid="{00000000-0005-0000-0000-0000FF080000}"/>
    <cellStyle name="40% - Accent3 7 2 4 3" xfId="5502" xr:uid="{00000000-0005-0000-0000-000000090000}"/>
    <cellStyle name="40% - Accent3 7 2 4 3 2" xfId="5503" xr:uid="{00000000-0005-0000-0000-000001090000}"/>
    <cellStyle name="40% - Accent3 7 2 4 4" xfId="5504" xr:uid="{00000000-0005-0000-0000-000002090000}"/>
    <cellStyle name="40% - Accent3 7 2 4 5" xfId="5505" xr:uid="{00000000-0005-0000-0000-000003090000}"/>
    <cellStyle name="40% - Accent3 7 2 4 6" xfId="5506" xr:uid="{00000000-0005-0000-0000-000004090000}"/>
    <cellStyle name="40% - Accent3 7 2 4 7" xfId="5507" xr:uid="{00000000-0005-0000-0000-000005090000}"/>
    <cellStyle name="40% - Accent3 7 2 4 8" xfId="5508" xr:uid="{00000000-0005-0000-0000-000006090000}"/>
    <cellStyle name="40% - Accent3 7 2 5" xfId="5509" xr:uid="{00000000-0005-0000-0000-000007090000}"/>
    <cellStyle name="40% - Accent3 7 2 5 2" xfId="5510" xr:uid="{00000000-0005-0000-0000-000008090000}"/>
    <cellStyle name="40% - Accent3 7 2 5 2 2" xfId="5511" xr:uid="{00000000-0005-0000-0000-000009090000}"/>
    <cellStyle name="40% - Accent3 7 2 5 3" xfId="5512" xr:uid="{00000000-0005-0000-0000-00000A090000}"/>
    <cellStyle name="40% - Accent3 7 2 5 4" xfId="5513" xr:uid="{00000000-0005-0000-0000-00000B090000}"/>
    <cellStyle name="40% - Accent3 7 2 6" xfId="5514" xr:uid="{00000000-0005-0000-0000-00000C090000}"/>
    <cellStyle name="40% - Accent3 7 2 6 2" xfId="5515" xr:uid="{00000000-0005-0000-0000-00000D090000}"/>
    <cellStyle name="40% - Accent3 7 2 7" xfId="5516" xr:uid="{00000000-0005-0000-0000-00000E090000}"/>
    <cellStyle name="40% - Accent3 7 2 7 2" xfId="5517" xr:uid="{00000000-0005-0000-0000-00000F090000}"/>
    <cellStyle name="40% - Accent3 7 2 8" xfId="5518" xr:uid="{00000000-0005-0000-0000-000010090000}"/>
    <cellStyle name="40% - Accent3 7 2 8 2" xfId="5519" xr:uid="{00000000-0005-0000-0000-000011090000}"/>
    <cellStyle name="40% - Accent3 7 2 9" xfId="5520" xr:uid="{00000000-0005-0000-0000-000012090000}"/>
    <cellStyle name="40% - Accent3 7 3" xfId="5521" xr:uid="{00000000-0005-0000-0000-000013090000}"/>
    <cellStyle name="40% - Accent3 7 3 10" xfId="5522" xr:uid="{00000000-0005-0000-0000-000014090000}"/>
    <cellStyle name="40% - Accent3 7 3 11" xfId="5523" xr:uid="{00000000-0005-0000-0000-000015090000}"/>
    <cellStyle name="40% - Accent3 7 3 12" xfId="5524" xr:uid="{00000000-0005-0000-0000-000016090000}"/>
    <cellStyle name="40% - Accent3 7 3 2" xfId="5525" xr:uid="{00000000-0005-0000-0000-000017090000}"/>
    <cellStyle name="40% - Accent3 7 3 2 10" xfId="5526" xr:uid="{00000000-0005-0000-0000-000018090000}"/>
    <cellStyle name="40% - Accent3 7 3 2 11" xfId="5527" xr:uid="{00000000-0005-0000-0000-000019090000}"/>
    <cellStyle name="40% - Accent3 7 3 2 2" xfId="5528" xr:uid="{00000000-0005-0000-0000-00001A090000}"/>
    <cellStyle name="40% - Accent3 7 3 2 2 2" xfId="5529" xr:uid="{00000000-0005-0000-0000-00001B090000}"/>
    <cellStyle name="40% - Accent3 7 3 2 2 2 2" xfId="5530" xr:uid="{00000000-0005-0000-0000-00001C090000}"/>
    <cellStyle name="40% - Accent3 7 3 2 2 2 3" xfId="5531" xr:uid="{00000000-0005-0000-0000-00001D090000}"/>
    <cellStyle name="40% - Accent3 7 3 2 2 3" xfId="5532" xr:uid="{00000000-0005-0000-0000-00001E090000}"/>
    <cellStyle name="40% - Accent3 7 3 2 2 3 2" xfId="5533" xr:uid="{00000000-0005-0000-0000-00001F090000}"/>
    <cellStyle name="40% - Accent3 7 3 2 2 4" xfId="5534" xr:uid="{00000000-0005-0000-0000-000020090000}"/>
    <cellStyle name="40% - Accent3 7 3 2 2 5" xfId="5535" xr:uid="{00000000-0005-0000-0000-000021090000}"/>
    <cellStyle name="40% - Accent3 7 3 2 2 6" xfId="5536" xr:uid="{00000000-0005-0000-0000-000022090000}"/>
    <cellStyle name="40% - Accent3 7 3 2 2 7" xfId="5537" xr:uid="{00000000-0005-0000-0000-000023090000}"/>
    <cellStyle name="40% - Accent3 7 3 2 2 8" xfId="5538" xr:uid="{00000000-0005-0000-0000-000024090000}"/>
    <cellStyle name="40% - Accent3 7 3 2 3" xfId="5539" xr:uid="{00000000-0005-0000-0000-000025090000}"/>
    <cellStyle name="40% - Accent3 7 3 2 3 2" xfId="5540" xr:uid="{00000000-0005-0000-0000-000026090000}"/>
    <cellStyle name="40% - Accent3 7 3 2 3 2 2" xfId="5541" xr:uid="{00000000-0005-0000-0000-000027090000}"/>
    <cellStyle name="40% - Accent3 7 3 2 3 3" xfId="5542" xr:uid="{00000000-0005-0000-0000-000028090000}"/>
    <cellStyle name="40% - Accent3 7 3 2 3 4" xfId="5543" xr:uid="{00000000-0005-0000-0000-000029090000}"/>
    <cellStyle name="40% - Accent3 7 3 2 4" xfId="5544" xr:uid="{00000000-0005-0000-0000-00002A090000}"/>
    <cellStyle name="40% - Accent3 7 3 2 4 2" xfId="5545" xr:uid="{00000000-0005-0000-0000-00002B090000}"/>
    <cellStyle name="40% - Accent3 7 3 2 5" xfId="5546" xr:uid="{00000000-0005-0000-0000-00002C090000}"/>
    <cellStyle name="40% - Accent3 7 3 2 5 2" xfId="5547" xr:uid="{00000000-0005-0000-0000-00002D090000}"/>
    <cellStyle name="40% - Accent3 7 3 2 6" xfId="5548" xr:uid="{00000000-0005-0000-0000-00002E090000}"/>
    <cellStyle name="40% - Accent3 7 3 2 6 2" xfId="5549" xr:uid="{00000000-0005-0000-0000-00002F090000}"/>
    <cellStyle name="40% - Accent3 7 3 2 7" xfId="5550" xr:uid="{00000000-0005-0000-0000-000030090000}"/>
    <cellStyle name="40% - Accent3 7 3 2 8" xfId="5551" xr:uid="{00000000-0005-0000-0000-000031090000}"/>
    <cellStyle name="40% - Accent3 7 3 2 9" xfId="5552" xr:uid="{00000000-0005-0000-0000-000032090000}"/>
    <cellStyle name="40% - Accent3 7 3 3" xfId="5553" xr:uid="{00000000-0005-0000-0000-000033090000}"/>
    <cellStyle name="40% - Accent3 7 3 3 2" xfId="5554" xr:uid="{00000000-0005-0000-0000-000034090000}"/>
    <cellStyle name="40% - Accent3 7 3 3 2 2" xfId="5555" xr:uid="{00000000-0005-0000-0000-000035090000}"/>
    <cellStyle name="40% - Accent3 7 3 3 2 3" xfId="5556" xr:uid="{00000000-0005-0000-0000-000036090000}"/>
    <cellStyle name="40% - Accent3 7 3 3 3" xfId="5557" xr:uid="{00000000-0005-0000-0000-000037090000}"/>
    <cellStyle name="40% - Accent3 7 3 3 3 2" xfId="5558" xr:uid="{00000000-0005-0000-0000-000038090000}"/>
    <cellStyle name="40% - Accent3 7 3 3 4" xfId="5559" xr:uid="{00000000-0005-0000-0000-000039090000}"/>
    <cellStyle name="40% - Accent3 7 3 3 5" xfId="5560" xr:uid="{00000000-0005-0000-0000-00003A090000}"/>
    <cellStyle name="40% - Accent3 7 3 3 6" xfId="5561" xr:uid="{00000000-0005-0000-0000-00003B090000}"/>
    <cellStyle name="40% - Accent3 7 3 3 7" xfId="5562" xr:uid="{00000000-0005-0000-0000-00003C090000}"/>
    <cellStyle name="40% - Accent3 7 3 3 8" xfId="5563" xr:uid="{00000000-0005-0000-0000-00003D090000}"/>
    <cellStyle name="40% - Accent3 7 3 4" xfId="5564" xr:uid="{00000000-0005-0000-0000-00003E090000}"/>
    <cellStyle name="40% - Accent3 7 3 4 2" xfId="5565" xr:uid="{00000000-0005-0000-0000-00003F090000}"/>
    <cellStyle name="40% - Accent3 7 3 4 2 2" xfId="5566" xr:uid="{00000000-0005-0000-0000-000040090000}"/>
    <cellStyle name="40% - Accent3 7 3 4 3" xfId="5567" xr:uid="{00000000-0005-0000-0000-000041090000}"/>
    <cellStyle name="40% - Accent3 7 3 4 4" xfId="5568" xr:uid="{00000000-0005-0000-0000-000042090000}"/>
    <cellStyle name="40% - Accent3 7 3 5" xfId="5569" xr:uid="{00000000-0005-0000-0000-000043090000}"/>
    <cellStyle name="40% - Accent3 7 3 5 2" xfId="5570" xr:uid="{00000000-0005-0000-0000-000044090000}"/>
    <cellStyle name="40% - Accent3 7 3 6" xfId="5571" xr:uid="{00000000-0005-0000-0000-000045090000}"/>
    <cellStyle name="40% - Accent3 7 3 6 2" xfId="5572" xr:uid="{00000000-0005-0000-0000-000046090000}"/>
    <cellStyle name="40% - Accent3 7 3 7" xfId="5573" xr:uid="{00000000-0005-0000-0000-000047090000}"/>
    <cellStyle name="40% - Accent3 7 3 7 2" xfId="5574" xr:uid="{00000000-0005-0000-0000-000048090000}"/>
    <cellStyle name="40% - Accent3 7 3 8" xfId="5575" xr:uid="{00000000-0005-0000-0000-000049090000}"/>
    <cellStyle name="40% - Accent3 7 3 9" xfId="5576" xr:uid="{00000000-0005-0000-0000-00004A090000}"/>
    <cellStyle name="40% - Accent3 7 4" xfId="5577" xr:uid="{00000000-0005-0000-0000-00004B090000}"/>
    <cellStyle name="40% - Accent3 7 4 10" xfId="5578" xr:uid="{00000000-0005-0000-0000-00004C090000}"/>
    <cellStyle name="40% - Accent3 7 4 11" xfId="5579" xr:uid="{00000000-0005-0000-0000-00004D090000}"/>
    <cellStyle name="40% - Accent3 7 4 2" xfId="5580" xr:uid="{00000000-0005-0000-0000-00004E090000}"/>
    <cellStyle name="40% - Accent3 7 4 2 2" xfId="5581" xr:uid="{00000000-0005-0000-0000-00004F090000}"/>
    <cellStyle name="40% - Accent3 7 4 2 2 2" xfId="5582" xr:uid="{00000000-0005-0000-0000-000050090000}"/>
    <cellStyle name="40% - Accent3 7 4 2 2 3" xfId="5583" xr:uid="{00000000-0005-0000-0000-000051090000}"/>
    <cellStyle name="40% - Accent3 7 4 2 3" xfId="5584" xr:uid="{00000000-0005-0000-0000-000052090000}"/>
    <cellStyle name="40% - Accent3 7 4 2 3 2" xfId="5585" xr:uid="{00000000-0005-0000-0000-000053090000}"/>
    <cellStyle name="40% - Accent3 7 4 2 4" xfId="5586" xr:uid="{00000000-0005-0000-0000-000054090000}"/>
    <cellStyle name="40% - Accent3 7 4 2 5" xfId="5587" xr:uid="{00000000-0005-0000-0000-000055090000}"/>
    <cellStyle name="40% - Accent3 7 4 2 6" xfId="5588" xr:uid="{00000000-0005-0000-0000-000056090000}"/>
    <cellStyle name="40% - Accent3 7 4 2 7" xfId="5589" xr:uid="{00000000-0005-0000-0000-000057090000}"/>
    <cellStyle name="40% - Accent3 7 4 2 8" xfId="5590" xr:uid="{00000000-0005-0000-0000-000058090000}"/>
    <cellStyle name="40% - Accent3 7 4 3" xfId="5591" xr:uid="{00000000-0005-0000-0000-000059090000}"/>
    <cellStyle name="40% - Accent3 7 4 3 2" xfId="5592" xr:uid="{00000000-0005-0000-0000-00005A090000}"/>
    <cellStyle name="40% - Accent3 7 4 3 2 2" xfId="5593" xr:uid="{00000000-0005-0000-0000-00005B090000}"/>
    <cellStyle name="40% - Accent3 7 4 3 3" xfId="5594" xr:uid="{00000000-0005-0000-0000-00005C090000}"/>
    <cellStyle name="40% - Accent3 7 4 3 4" xfId="5595" xr:uid="{00000000-0005-0000-0000-00005D090000}"/>
    <cellStyle name="40% - Accent3 7 4 4" xfId="5596" xr:uid="{00000000-0005-0000-0000-00005E090000}"/>
    <cellStyle name="40% - Accent3 7 4 4 2" xfId="5597" xr:uid="{00000000-0005-0000-0000-00005F090000}"/>
    <cellStyle name="40% - Accent3 7 4 5" xfId="5598" xr:uid="{00000000-0005-0000-0000-000060090000}"/>
    <cellStyle name="40% - Accent3 7 4 5 2" xfId="5599" xr:uid="{00000000-0005-0000-0000-000061090000}"/>
    <cellStyle name="40% - Accent3 7 4 6" xfId="5600" xr:uid="{00000000-0005-0000-0000-000062090000}"/>
    <cellStyle name="40% - Accent3 7 4 6 2" xfId="5601" xr:uid="{00000000-0005-0000-0000-000063090000}"/>
    <cellStyle name="40% - Accent3 7 4 7" xfId="5602" xr:uid="{00000000-0005-0000-0000-000064090000}"/>
    <cellStyle name="40% - Accent3 7 4 8" xfId="5603" xr:uid="{00000000-0005-0000-0000-000065090000}"/>
    <cellStyle name="40% - Accent3 7 4 9" xfId="5604" xr:uid="{00000000-0005-0000-0000-000066090000}"/>
    <cellStyle name="40% - Accent3 7 5" xfId="5605" xr:uid="{00000000-0005-0000-0000-000067090000}"/>
    <cellStyle name="40% - Accent3 7 5 2" xfId="5606" xr:uid="{00000000-0005-0000-0000-000068090000}"/>
    <cellStyle name="40% - Accent3 7 5 2 2" xfId="5607" xr:uid="{00000000-0005-0000-0000-000069090000}"/>
    <cellStyle name="40% - Accent3 7 5 2 3" xfId="5608" xr:uid="{00000000-0005-0000-0000-00006A090000}"/>
    <cellStyle name="40% - Accent3 7 5 3" xfId="5609" xr:uid="{00000000-0005-0000-0000-00006B090000}"/>
    <cellStyle name="40% - Accent3 7 5 3 2" xfId="5610" xr:uid="{00000000-0005-0000-0000-00006C090000}"/>
    <cellStyle name="40% - Accent3 7 5 4" xfId="5611" xr:uid="{00000000-0005-0000-0000-00006D090000}"/>
    <cellStyle name="40% - Accent3 7 5 5" xfId="5612" xr:uid="{00000000-0005-0000-0000-00006E090000}"/>
    <cellStyle name="40% - Accent3 7 5 6" xfId="5613" xr:uid="{00000000-0005-0000-0000-00006F090000}"/>
    <cellStyle name="40% - Accent3 7 5 7" xfId="5614" xr:uid="{00000000-0005-0000-0000-000070090000}"/>
    <cellStyle name="40% - Accent3 7 5 8" xfId="5615" xr:uid="{00000000-0005-0000-0000-000071090000}"/>
    <cellStyle name="40% - Accent3 7 6" xfId="5616" xr:uid="{00000000-0005-0000-0000-000072090000}"/>
    <cellStyle name="40% - Accent3 7 6 2" xfId="5617" xr:uid="{00000000-0005-0000-0000-000073090000}"/>
    <cellStyle name="40% - Accent3 7 6 2 2" xfId="5618" xr:uid="{00000000-0005-0000-0000-000074090000}"/>
    <cellStyle name="40% - Accent3 7 6 3" xfId="5619" xr:uid="{00000000-0005-0000-0000-000075090000}"/>
    <cellStyle name="40% - Accent3 7 6 4" xfId="5620" xr:uid="{00000000-0005-0000-0000-000076090000}"/>
    <cellStyle name="40% - Accent3 7 7" xfId="5621" xr:uid="{00000000-0005-0000-0000-000077090000}"/>
    <cellStyle name="40% - Accent3 7 7 2" xfId="5622" xr:uid="{00000000-0005-0000-0000-000078090000}"/>
    <cellStyle name="40% - Accent3 7 8" xfId="5623" xr:uid="{00000000-0005-0000-0000-000079090000}"/>
    <cellStyle name="40% - Accent3 7 8 2" xfId="5624" xr:uid="{00000000-0005-0000-0000-00007A090000}"/>
    <cellStyle name="40% - Accent3 7 9" xfId="5625" xr:uid="{00000000-0005-0000-0000-00007B090000}"/>
    <cellStyle name="40% - Accent3 7 9 2" xfId="5626" xr:uid="{00000000-0005-0000-0000-00007C090000}"/>
    <cellStyle name="40% - Accent3 8" xfId="5627" xr:uid="{00000000-0005-0000-0000-00007D090000}"/>
    <cellStyle name="40% - Accent3 9" xfId="5628" xr:uid="{00000000-0005-0000-0000-00007E090000}"/>
    <cellStyle name="40% - Accent3 9 2" xfId="5629" xr:uid="{00000000-0005-0000-0000-00007F090000}"/>
    <cellStyle name="40% - Accent3 9 3" xfId="5630" xr:uid="{00000000-0005-0000-0000-000080090000}"/>
    <cellStyle name="40% - Accent4 10" xfId="5631" xr:uid="{00000000-0005-0000-0000-000081090000}"/>
    <cellStyle name="40% - Accent4 11" xfId="5632" xr:uid="{00000000-0005-0000-0000-000082090000}"/>
    <cellStyle name="40% - Accent4 2" xfId="3009" xr:uid="{00000000-0005-0000-0000-000083090000}"/>
    <cellStyle name="40% - Accent4 2 2" xfId="5633" xr:uid="{00000000-0005-0000-0000-000084090000}"/>
    <cellStyle name="40% - Accent4 2 2 2" xfId="5634" xr:uid="{00000000-0005-0000-0000-000085090000}"/>
    <cellStyle name="40% - Accent4 2 3" xfId="5635" xr:uid="{00000000-0005-0000-0000-000086090000}"/>
    <cellStyle name="40% - Accent4 2 4" xfId="5636" xr:uid="{00000000-0005-0000-0000-000087090000}"/>
    <cellStyle name="40% - Accent4 2 5" xfId="5637" xr:uid="{00000000-0005-0000-0000-000088090000}"/>
    <cellStyle name="40% - Accent4 2 6" xfId="5638" xr:uid="{00000000-0005-0000-0000-000089090000}"/>
    <cellStyle name="40% - Accent4 2 7" xfId="5639" xr:uid="{00000000-0005-0000-0000-00008A090000}"/>
    <cellStyle name="40% - Accent4 3" xfId="3010" xr:uid="{00000000-0005-0000-0000-00008B090000}"/>
    <cellStyle name="40% - Accent4 3 2" xfId="5640" xr:uid="{00000000-0005-0000-0000-00008C090000}"/>
    <cellStyle name="40% - Accent4 3 2 2" xfId="5641" xr:uid="{00000000-0005-0000-0000-00008D090000}"/>
    <cellStyle name="40% - Accent4 3 3" xfId="5642" xr:uid="{00000000-0005-0000-0000-00008E090000}"/>
    <cellStyle name="40% - Accent4 3 3 2" xfId="5643" xr:uid="{00000000-0005-0000-0000-00008F090000}"/>
    <cellStyle name="40% - Accent4 3 4" xfId="5644" xr:uid="{00000000-0005-0000-0000-000090090000}"/>
    <cellStyle name="40% - Accent4 4" xfId="3191" xr:uid="{00000000-0005-0000-0000-000091090000}"/>
    <cellStyle name="40% - Accent4 4 2" xfId="5645" xr:uid="{00000000-0005-0000-0000-000092090000}"/>
    <cellStyle name="40% - Accent4 4 3" xfId="5646" xr:uid="{00000000-0005-0000-0000-000093090000}"/>
    <cellStyle name="40% - Accent4 4 4" xfId="5647" xr:uid="{00000000-0005-0000-0000-000094090000}"/>
    <cellStyle name="40% - Accent4 5" xfId="5648" xr:uid="{00000000-0005-0000-0000-000095090000}"/>
    <cellStyle name="40% - Accent4 5 2" xfId="5649" xr:uid="{00000000-0005-0000-0000-000096090000}"/>
    <cellStyle name="40% - Accent4 6" xfId="5650" xr:uid="{00000000-0005-0000-0000-000097090000}"/>
    <cellStyle name="40% - Accent4 6 2" xfId="5651" xr:uid="{00000000-0005-0000-0000-000098090000}"/>
    <cellStyle name="40% - Accent4 7" xfId="5652" xr:uid="{00000000-0005-0000-0000-000099090000}"/>
    <cellStyle name="40% - Accent4 7 10" xfId="5653" xr:uid="{00000000-0005-0000-0000-00009A090000}"/>
    <cellStyle name="40% - Accent4 7 11" xfId="5654" xr:uid="{00000000-0005-0000-0000-00009B090000}"/>
    <cellStyle name="40% - Accent4 7 12" xfId="5655" xr:uid="{00000000-0005-0000-0000-00009C090000}"/>
    <cellStyle name="40% - Accent4 7 13" xfId="5656" xr:uid="{00000000-0005-0000-0000-00009D090000}"/>
    <cellStyle name="40% - Accent4 7 14" xfId="5657" xr:uid="{00000000-0005-0000-0000-00009E090000}"/>
    <cellStyle name="40% - Accent4 7 2" xfId="5658" xr:uid="{00000000-0005-0000-0000-00009F090000}"/>
    <cellStyle name="40% - Accent4 7 2 10" xfId="5659" xr:uid="{00000000-0005-0000-0000-0000A0090000}"/>
    <cellStyle name="40% - Accent4 7 2 11" xfId="5660" xr:uid="{00000000-0005-0000-0000-0000A1090000}"/>
    <cellStyle name="40% - Accent4 7 2 12" xfId="5661" xr:uid="{00000000-0005-0000-0000-0000A2090000}"/>
    <cellStyle name="40% - Accent4 7 2 13" xfId="5662" xr:uid="{00000000-0005-0000-0000-0000A3090000}"/>
    <cellStyle name="40% - Accent4 7 2 2" xfId="5663" xr:uid="{00000000-0005-0000-0000-0000A4090000}"/>
    <cellStyle name="40% - Accent4 7 2 2 10" xfId="5664" xr:uid="{00000000-0005-0000-0000-0000A5090000}"/>
    <cellStyle name="40% - Accent4 7 2 2 11" xfId="5665" xr:uid="{00000000-0005-0000-0000-0000A6090000}"/>
    <cellStyle name="40% - Accent4 7 2 2 12" xfId="5666" xr:uid="{00000000-0005-0000-0000-0000A7090000}"/>
    <cellStyle name="40% - Accent4 7 2 2 2" xfId="5667" xr:uid="{00000000-0005-0000-0000-0000A8090000}"/>
    <cellStyle name="40% - Accent4 7 2 2 2 10" xfId="5668" xr:uid="{00000000-0005-0000-0000-0000A9090000}"/>
    <cellStyle name="40% - Accent4 7 2 2 2 11" xfId="5669" xr:uid="{00000000-0005-0000-0000-0000AA090000}"/>
    <cellStyle name="40% - Accent4 7 2 2 2 2" xfId="5670" xr:uid="{00000000-0005-0000-0000-0000AB090000}"/>
    <cellStyle name="40% - Accent4 7 2 2 2 2 2" xfId="5671" xr:uid="{00000000-0005-0000-0000-0000AC090000}"/>
    <cellStyle name="40% - Accent4 7 2 2 2 2 2 2" xfId="5672" xr:uid="{00000000-0005-0000-0000-0000AD090000}"/>
    <cellStyle name="40% - Accent4 7 2 2 2 2 2 3" xfId="5673" xr:uid="{00000000-0005-0000-0000-0000AE090000}"/>
    <cellStyle name="40% - Accent4 7 2 2 2 2 3" xfId="5674" xr:uid="{00000000-0005-0000-0000-0000AF090000}"/>
    <cellStyle name="40% - Accent4 7 2 2 2 2 3 2" xfId="5675" xr:uid="{00000000-0005-0000-0000-0000B0090000}"/>
    <cellStyle name="40% - Accent4 7 2 2 2 2 4" xfId="5676" xr:uid="{00000000-0005-0000-0000-0000B1090000}"/>
    <cellStyle name="40% - Accent4 7 2 2 2 2 5" xfId="5677" xr:uid="{00000000-0005-0000-0000-0000B2090000}"/>
    <cellStyle name="40% - Accent4 7 2 2 2 2 6" xfId="5678" xr:uid="{00000000-0005-0000-0000-0000B3090000}"/>
    <cellStyle name="40% - Accent4 7 2 2 2 2 7" xfId="5679" xr:uid="{00000000-0005-0000-0000-0000B4090000}"/>
    <cellStyle name="40% - Accent4 7 2 2 2 2 8" xfId="5680" xr:uid="{00000000-0005-0000-0000-0000B5090000}"/>
    <cellStyle name="40% - Accent4 7 2 2 2 3" xfId="5681" xr:uid="{00000000-0005-0000-0000-0000B6090000}"/>
    <cellStyle name="40% - Accent4 7 2 2 2 3 2" xfId="5682" xr:uid="{00000000-0005-0000-0000-0000B7090000}"/>
    <cellStyle name="40% - Accent4 7 2 2 2 3 2 2" xfId="5683" xr:uid="{00000000-0005-0000-0000-0000B8090000}"/>
    <cellStyle name="40% - Accent4 7 2 2 2 3 3" xfId="5684" xr:uid="{00000000-0005-0000-0000-0000B9090000}"/>
    <cellStyle name="40% - Accent4 7 2 2 2 3 4" xfId="5685" xr:uid="{00000000-0005-0000-0000-0000BA090000}"/>
    <cellStyle name="40% - Accent4 7 2 2 2 4" xfId="5686" xr:uid="{00000000-0005-0000-0000-0000BB090000}"/>
    <cellStyle name="40% - Accent4 7 2 2 2 4 2" xfId="5687" xr:uid="{00000000-0005-0000-0000-0000BC090000}"/>
    <cellStyle name="40% - Accent4 7 2 2 2 5" xfId="5688" xr:uid="{00000000-0005-0000-0000-0000BD090000}"/>
    <cellStyle name="40% - Accent4 7 2 2 2 5 2" xfId="5689" xr:uid="{00000000-0005-0000-0000-0000BE090000}"/>
    <cellStyle name="40% - Accent4 7 2 2 2 6" xfId="5690" xr:uid="{00000000-0005-0000-0000-0000BF090000}"/>
    <cellStyle name="40% - Accent4 7 2 2 2 6 2" xfId="5691" xr:uid="{00000000-0005-0000-0000-0000C0090000}"/>
    <cellStyle name="40% - Accent4 7 2 2 2 7" xfId="5692" xr:uid="{00000000-0005-0000-0000-0000C1090000}"/>
    <cellStyle name="40% - Accent4 7 2 2 2 8" xfId="5693" xr:uid="{00000000-0005-0000-0000-0000C2090000}"/>
    <cellStyle name="40% - Accent4 7 2 2 2 9" xfId="5694" xr:uid="{00000000-0005-0000-0000-0000C3090000}"/>
    <cellStyle name="40% - Accent4 7 2 2 3" xfId="5695" xr:uid="{00000000-0005-0000-0000-0000C4090000}"/>
    <cellStyle name="40% - Accent4 7 2 2 3 2" xfId="5696" xr:uid="{00000000-0005-0000-0000-0000C5090000}"/>
    <cellStyle name="40% - Accent4 7 2 2 3 2 2" xfId="5697" xr:uid="{00000000-0005-0000-0000-0000C6090000}"/>
    <cellStyle name="40% - Accent4 7 2 2 3 2 3" xfId="5698" xr:uid="{00000000-0005-0000-0000-0000C7090000}"/>
    <cellStyle name="40% - Accent4 7 2 2 3 3" xfId="5699" xr:uid="{00000000-0005-0000-0000-0000C8090000}"/>
    <cellStyle name="40% - Accent4 7 2 2 3 3 2" xfId="5700" xr:uid="{00000000-0005-0000-0000-0000C9090000}"/>
    <cellStyle name="40% - Accent4 7 2 2 3 4" xfId="5701" xr:uid="{00000000-0005-0000-0000-0000CA090000}"/>
    <cellStyle name="40% - Accent4 7 2 2 3 5" xfId="5702" xr:uid="{00000000-0005-0000-0000-0000CB090000}"/>
    <cellStyle name="40% - Accent4 7 2 2 3 6" xfId="5703" xr:uid="{00000000-0005-0000-0000-0000CC090000}"/>
    <cellStyle name="40% - Accent4 7 2 2 3 7" xfId="5704" xr:uid="{00000000-0005-0000-0000-0000CD090000}"/>
    <cellStyle name="40% - Accent4 7 2 2 3 8" xfId="5705" xr:uid="{00000000-0005-0000-0000-0000CE090000}"/>
    <cellStyle name="40% - Accent4 7 2 2 4" xfId="5706" xr:uid="{00000000-0005-0000-0000-0000CF090000}"/>
    <cellStyle name="40% - Accent4 7 2 2 4 2" xfId="5707" xr:uid="{00000000-0005-0000-0000-0000D0090000}"/>
    <cellStyle name="40% - Accent4 7 2 2 4 2 2" xfId="5708" xr:uid="{00000000-0005-0000-0000-0000D1090000}"/>
    <cellStyle name="40% - Accent4 7 2 2 4 3" xfId="5709" xr:uid="{00000000-0005-0000-0000-0000D2090000}"/>
    <cellStyle name="40% - Accent4 7 2 2 4 4" xfId="5710" xr:uid="{00000000-0005-0000-0000-0000D3090000}"/>
    <cellStyle name="40% - Accent4 7 2 2 5" xfId="5711" xr:uid="{00000000-0005-0000-0000-0000D4090000}"/>
    <cellStyle name="40% - Accent4 7 2 2 5 2" xfId="5712" xr:uid="{00000000-0005-0000-0000-0000D5090000}"/>
    <cellStyle name="40% - Accent4 7 2 2 6" xfId="5713" xr:uid="{00000000-0005-0000-0000-0000D6090000}"/>
    <cellStyle name="40% - Accent4 7 2 2 6 2" xfId="5714" xr:uid="{00000000-0005-0000-0000-0000D7090000}"/>
    <cellStyle name="40% - Accent4 7 2 2 7" xfId="5715" xr:uid="{00000000-0005-0000-0000-0000D8090000}"/>
    <cellStyle name="40% - Accent4 7 2 2 7 2" xfId="5716" xr:uid="{00000000-0005-0000-0000-0000D9090000}"/>
    <cellStyle name="40% - Accent4 7 2 2 8" xfId="5717" xr:uid="{00000000-0005-0000-0000-0000DA090000}"/>
    <cellStyle name="40% - Accent4 7 2 2 9" xfId="5718" xr:uid="{00000000-0005-0000-0000-0000DB090000}"/>
    <cellStyle name="40% - Accent4 7 2 3" xfId="5719" xr:uid="{00000000-0005-0000-0000-0000DC090000}"/>
    <cellStyle name="40% - Accent4 7 2 3 10" xfId="5720" xr:uid="{00000000-0005-0000-0000-0000DD090000}"/>
    <cellStyle name="40% - Accent4 7 2 3 11" xfId="5721" xr:uid="{00000000-0005-0000-0000-0000DE090000}"/>
    <cellStyle name="40% - Accent4 7 2 3 2" xfId="5722" xr:uid="{00000000-0005-0000-0000-0000DF090000}"/>
    <cellStyle name="40% - Accent4 7 2 3 2 2" xfId="5723" xr:uid="{00000000-0005-0000-0000-0000E0090000}"/>
    <cellStyle name="40% - Accent4 7 2 3 2 2 2" xfId="5724" xr:uid="{00000000-0005-0000-0000-0000E1090000}"/>
    <cellStyle name="40% - Accent4 7 2 3 2 2 3" xfId="5725" xr:uid="{00000000-0005-0000-0000-0000E2090000}"/>
    <cellStyle name="40% - Accent4 7 2 3 2 3" xfId="5726" xr:uid="{00000000-0005-0000-0000-0000E3090000}"/>
    <cellStyle name="40% - Accent4 7 2 3 2 3 2" xfId="5727" xr:uid="{00000000-0005-0000-0000-0000E4090000}"/>
    <cellStyle name="40% - Accent4 7 2 3 2 4" xfId="5728" xr:uid="{00000000-0005-0000-0000-0000E5090000}"/>
    <cellStyle name="40% - Accent4 7 2 3 2 5" xfId="5729" xr:uid="{00000000-0005-0000-0000-0000E6090000}"/>
    <cellStyle name="40% - Accent4 7 2 3 2 6" xfId="5730" xr:uid="{00000000-0005-0000-0000-0000E7090000}"/>
    <cellStyle name="40% - Accent4 7 2 3 2 7" xfId="5731" xr:uid="{00000000-0005-0000-0000-0000E8090000}"/>
    <cellStyle name="40% - Accent4 7 2 3 2 8" xfId="5732" xr:uid="{00000000-0005-0000-0000-0000E9090000}"/>
    <cellStyle name="40% - Accent4 7 2 3 3" xfId="5733" xr:uid="{00000000-0005-0000-0000-0000EA090000}"/>
    <cellStyle name="40% - Accent4 7 2 3 3 2" xfId="5734" xr:uid="{00000000-0005-0000-0000-0000EB090000}"/>
    <cellStyle name="40% - Accent4 7 2 3 3 2 2" xfId="5735" xr:uid="{00000000-0005-0000-0000-0000EC090000}"/>
    <cellStyle name="40% - Accent4 7 2 3 3 3" xfId="5736" xr:uid="{00000000-0005-0000-0000-0000ED090000}"/>
    <cellStyle name="40% - Accent4 7 2 3 3 4" xfId="5737" xr:uid="{00000000-0005-0000-0000-0000EE090000}"/>
    <cellStyle name="40% - Accent4 7 2 3 4" xfId="5738" xr:uid="{00000000-0005-0000-0000-0000EF090000}"/>
    <cellStyle name="40% - Accent4 7 2 3 4 2" xfId="5739" xr:uid="{00000000-0005-0000-0000-0000F0090000}"/>
    <cellStyle name="40% - Accent4 7 2 3 5" xfId="5740" xr:uid="{00000000-0005-0000-0000-0000F1090000}"/>
    <cellStyle name="40% - Accent4 7 2 3 5 2" xfId="5741" xr:uid="{00000000-0005-0000-0000-0000F2090000}"/>
    <cellStyle name="40% - Accent4 7 2 3 6" xfId="5742" xr:uid="{00000000-0005-0000-0000-0000F3090000}"/>
    <cellStyle name="40% - Accent4 7 2 3 6 2" xfId="5743" xr:uid="{00000000-0005-0000-0000-0000F4090000}"/>
    <cellStyle name="40% - Accent4 7 2 3 7" xfId="5744" xr:uid="{00000000-0005-0000-0000-0000F5090000}"/>
    <cellStyle name="40% - Accent4 7 2 3 8" xfId="5745" xr:uid="{00000000-0005-0000-0000-0000F6090000}"/>
    <cellStyle name="40% - Accent4 7 2 3 9" xfId="5746" xr:uid="{00000000-0005-0000-0000-0000F7090000}"/>
    <cellStyle name="40% - Accent4 7 2 4" xfId="5747" xr:uid="{00000000-0005-0000-0000-0000F8090000}"/>
    <cellStyle name="40% - Accent4 7 2 4 2" xfId="5748" xr:uid="{00000000-0005-0000-0000-0000F9090000}"/>
    <cellStyle name="40% - Accent4 7 2 4 2 2" xfId="5749" xr:uid="{00000000-0005-0000-0000-0000FA090000}"/>
    <cellStyle name="40% - Accent4 7 2 4 2 3" xfId="5750" xr:uid="{00000000-0005-0000-0000-0000FB090000}"/>
    <cellStyle name="40% - Accent4 7 2 4 3" xfId="5751" xr:uid="{00000000-0005-0000-0000-0000FC090000}"/>
    <cellStyle name="40% - Accent4 7 2 4 3 2" xfId="5752" xr:uid="{00000000-0005-0000-0000-0000FD090000}"/>
    <cellStyle name="40% - Accent4 7 2 4 4" xfId="5753" xr:uid="{00000000-0005-0000-0000-0000FE090000}"/>
    <cellStyle name="40% - Accent4 7 2 4 5" xfId="5754" xr:uid="{00000000-0005-0000-0000-0000FF090000}"/>
    <cellStyle name="40% - Accent4 7 2 4 6" xfId="5755" xr:uid="{00000000-0005-0000-0000-0000000A0000}"/>
    <cellStyle name="40% - Accent4 7 2 4 7" xfId="5756" xr:uid="{00000000-0005-0000-0000-0000010A0000}"/>
    <cellStyle name="40% - Accent4 7 2 4 8" xfId="5757" xr:uid="{00000000-0005-0000-0000-0000020A0000}"/>
    <cellStyle name="40% - Accent4 7 2 5" xfId="5758" xr:uid="{00000000-0005-0000-0000-0000030A0000}"/>
    <cellStyle name="40% - Accent4 7 2 5 2" xfId="5759" xr:uid="{00000000-0005-0000-0000-0000040A0000}"/>
    <cellStyle name="40% - Accent4 7 2 5 2 2" xfId="5760" xr:uid="{00000000-0005-0000-0000-0000050A0000}"/>
    <cellStyle name="40% - Accent4 7 2 5 3" xfId="5761" xr:uid="{00000000-0005-0000-0000-0000060A0000}"/>
    <cellStyle name="40% - Accent4 7 2 5 4" xfId="5762" xr:uid="{00000000-0005-0000-0000-0000070A0000}"/>
    <cellStyle name="40% - Accent4 7 2 6" xfId="5763" xr:uid="{00000000-0005-0000-0000-0000080A0000}"/>
    <cellStyle name="40% - Accent4 7 2 6 2" xfId="5764" xr:uid="{00000000-0005-0000-0000-0000090A0000}"/>
    <cellStyle name="40% - Accent4 7 2 7" xfId="5765" xr:uid="{00000000-0005-0000-0000-00000A0A0000}"/>
    <cellStyle name="40% - Accent4 7 2 7 2" xfId="5766" xr:uid="{00000000-0005-0000-0000-00000B0A0000}"/>
    <cellStyle name="40% - Accent4 7 2 8" xfId="5767" xr:uid="{00000000-0005-0000-0000-00000C0A0000}"/>
    <cellStyle name="40% - Accent4 7 2 8 2" xfId="5768" xr:uid="{00000000-0005-0000-0000-00000D0A0000}"/>
    <cellStyle name="40% - Accent4 7 2 9" xfId="5769" xr:uid="{00000000-0005-0000-0000-00000E0A0000}"/>
    <cellStyle name="40% - Accent4 7 3" xfId="5770" xr:uid="{00000000-0005-0000-0000-00000F0A0000}"/>
    <cellStyle name="40% - Accent4 7 3 10" xfId="5771" xr:uid="{00000000-0005-0000-0000-0000100A0000}"/>
    <cellStyle name="40% - Accent4 7 3 11" xfId="5772" xr:uid="{00000000-0005-0000-0000-0000110A0000}"/>
    <cellStyle name="40% - Accent4 7 3 12" xfId="5773" xr:uid="{00000000-0005-0000-0000-0000120A0000}"/>
    <cellStyle name="40% - Accent4 7 3 2" xfId="5774" xr:uid="{00000000-0005-0000-0000-0000130A0000}"/>
    <cellStyle name="40% - Accent4 7 3 2 10" xfId="5775" xr:uid="{00000000-0005-0000-0000-0000140A0000}"/>
    <cellStyle name="40% - Accent4 7 3 2 11" xfId="5776" xr:uid="{00000000-0005-0000-0000-0000150A0000}"/>
    <cellStyle name="40% - Accent4 7 3 2 2" xfId="5777" xr:uid="{00000000-0005-0000-0000-0000160A0000}"/>
    <cellStyle name="40% - Accent4 7 3 2 2 2" xfId="5778" xr:uid="{00000000-0005-0000-0000-0000170A0000}"/>
    <cellStyle name="40% - Accent4 7 3 2 2 2 2" xfId="5779" xr:uid="{00000000-0005-0000-0000-0000180A0000}"/>
    <cellStyle name="40% - Accent4 7 3 2 2 2 3" xfId="5780" xr:uid="{00000000-0005-0000-0000-0000190A0000}"/>
    <cellStyle name="40% - Accent4 7 3 2 2 3" xfId="5781" xr:uid="{00000000-0005-0000-0000-00001A0A0000}"/>
    <cellStyle name="40% - Accent4 7 3 2 2 3 2" xfId="5782" xr:uid="{00000000-0005-0000-0000-00001B0A0000}"/>
    <cellStyle name="40% - Accent4 7 3 2 2 4" xfId="5783" xr:uid="{00000000-0005-0000-0000-00001C0A0000}"/>
    <cellStyle name="40% - Accent4 7 3 2 2 5" xfId="5784" xr:uid="{00000000-0005-0000-0000-00001D0A0000}"/>
    <cellStyle name="40% - Accent4 7 3 2 2 6" xfId="5785" xr:uid="{00000000-0005-0000-0000-00001E0A0000}"/>
    <cellStyle name="40% - Accent4 7 3 2 2 7" xfId="5786" xr:uid="{00000000-0005-0000-0000-00001F0A0000}"/>
    <cellStyle name="40% - Accent4 7 3 2 2 8" xfId="5787" xr:uid="{00000000-0005-0000-0000-0000200A0000}"/>
    <cellStyle name="40% - Accent4 7 3 2 3" xfId="5788" xr:uid="{00000000-0005-0000-0000-0000210A0000}"/>
    <cellStyle name="40% - Accent4 7 3 2 3 2" xfId="5789" xr:uid="{00000000-0005-0000-0000-0000220A0000}"/>
    <cellStyle name="40% - Accent4 7 3 2 3 2 2" xfId="5790" xr:uid="{00000000-0005-0000-0000-0000230A0000}"/>
    <cellStyle name="40% - Accent4 7 3 2 3 3" xfId="5791" xr:uid="{00000000-0005-0000-0000-0000240A0000}"/>
    <cellStyle name="40% - Accent4 7 3 2 3 4" xfId="5792" xr:uid="{00000000-0005-0000-0000-0000250A0000}"/>
    <cellStyle name="40% - Accent4 7 3 2 4" xfId="5793" xr:uid="{00000000-0005-0000-0000-0000260A0000}"/>
    <cellStyle name="40% - Accent4 7 3 2 4 2" xfId="5794" xr:uid="{00000000-0005-0000-0000-0000270A0000}"/>
    <cellStyle name="40% - Accent4 7 3 2 5" xfId="5795" xr:uid="{00000000-0005-0000-0000-0000280A0000}"/>
    <cellStyle name="40% - Accent4 7 3 2 5 2" xfId="5796" xr:uid="{00000000-0005-0000-0000-0000290A0000}"/>
    <cellStyle name="40% - Accent4 7 3 2 6" xfId="5797" xr:uid="{00000000-0005-0000-0000-00002A0A0000}"/>
    <cellStyle name="40% - Accent4 7 3 2 6 2" xfId="5798" xr:uid="{00000000-0005-0000-0000-00002B0A0000}"/>
    <cellStyle name="40% - Accent4 7 3 2 7" xfId="5799" xr:uid="{00000000-0005-0000-0000-00002C0A0000}"/>
    <cellStyle name="40% - Accent4 7 3 2 8" xfId="5800" xr:uid="{00000000-0005-0000-0000-00002D0A0000}"/>
    <cellStyle name="40% - Accent4 7 3 2 9" xfId="5801" xr:uid="{00000000-0005-0000-0000-00002E0A0000}"/>
    <cellStyle name="40% - Accent4 7 3 3" xfId="5802" xr:uid="{00000000-0005-0000-0000-00002F0A0000}"/>
    <cellStyle name="40% - Accent4 7 3 3 2" xfId="5803" xr:uid="{00000000-0005-0000-0000-0000300A0000}"/>
    <cellStyle name="40% - Accent4 7 3 3 2 2" xfId="5804" xr:uid="{00000000-0005-0000-0000-0000310A0000}"/>
    <cellStyle name="40% - Accent4 7 3 3 2 3" xfId="5805" xr:uid="{00000000-0005-0000-0000-0000320A0000}"/>
    <cellStyle name="40% - Accent4 7 3 3 3" xfId="5806" xr:uid="{00000000-0005-0000-0000-0000330A0000}"/>
    <cellStyle name="40% - Accent4 7 3 3 3 2" xfId="5807" xr:uid="{00000000-0005-0000-0000-0000340A0000}"/>
    <cellStyle name="40% - Accent4 7 3 3 4" xfId="5808" xr:uid="{00000000-0005-0000-0000-0000350A0000}"/>
    <cellStyle name="40% - Accent4 7 3 3 5" xfId="5809" xr:uid="{00000000-0005-0000-0000-0000360A0000}"/>
    <cellStyle name="40% - Accent4 7 3 3 6" xfId="5810" xr:uid="{00000000-0005-0000-0000-0000370A0000}"/>
    <cellStyle name="40% - Accent4 7 3 3 7" xfId="5811" xr:uid="{00000000-0005-0000-0000-0000380A0000}"/>
    <cellStyle name="40% - Accent4 7 3 3 8" xfId="5812" xr:uid="{00000000-0005-0000-0000-0000390A0000}"/>
    <cellStyle name="40% - Accent4 7 3 4" xfId="5813" xr:uid="{00000000-0005-0000-0000-00003A0A0000}"/>
    <cellStyle name="40% - Accent4 7 3 4 2" xfId="5814" xr:uid="{00000000-0005-0000-0000-00003B0A0000}"/>
    <cellStyle name="40% - Accent4 7 3 4 2 2" xfId="5815" xr:uid="{00000000-0005-0000-0000-00003C0A0000}"/>
    <cellStyle name="40% - Accent4 7 3 4 3" xfId="5816" xr:uid="{00000000-0005-0000-0000-00003D0A0000}"/>
    <cellStyle name="40% - Accent4 7 3 4 4" xfId="5817" xr:uid="{00000000-0005-0000-0000-00003E0A0000}"/>
    <cellStyle name="40% - Accent4 7 3 5" xfId="5818" xr:uid="{00000000-0005-0000-0000-00003F0A0000}"/>
    <cellStyle name="40% - Accent4 7 3 5 2" xfId="5819" xr:uid="{00000000-0005-0000-0000-0000400A0000}"/>
    <cellStyle name="40% - Accent4 7 3 6" xfId="5820" xr:uid="{00000000-0005-0000-0000-0000410A0000}"/>
    <cellStyle name="40% - Accent4 7 3 6 2" xfId="5821" xr:uid="{00000000-0005-0000-0000-0000420A0000}"/>
    <cellStyle name="40% - Accent4 7 3 7" xfId="5822" xr:uid="{00000000-0005-0000-0000-0000430A0000}"/>
    <cellStyle name="40% - Accent4 7 3 7 2" xfId="5823" xr:uid="{00000000-0005-0000-0000-0000440A0000}"/>
    <cellStyle name="40% - Accent4 7 3 8" xfId="5824" xr:uid="{00000000-0005-0000-0000-0000450A0000}"/>
    <cellStyle name="40% - Accent4 7 3 9" xfId="5825" xr:uid="{00000000-0005-0000-0000-0000460A0000}"/>
    <cellStyle name="40% - Accent4 7 4" xfId="5826" xr:uid="{00000000-0005-0000-0000-0000470A0000}"/>
    <cellStyle name="40% - Accent4 7 4 10" xfId="5827" xr:uid="{00000000-0005-0000-0000-0000480A0000}"/>
    <cellStyle name="40% - Accent4 7 4 11" xfId="5828" xr:uid="{00000000-0005-0000-0000-0000490A0000}"/>
    <cellStyle name="40% - Accent4 7 4 2" xfId="5829" xr:uid="{00000000-0005-0000-0000-00004A0A0000}"/>
    <cellStyle name="40% - Accent4 7 4 2 2" xfId="5830" xr:uid="{00000000-0005-0000-0000-00004B0A0000}"/>
    <cellStyle name="40% - Accent4 7 4 2 2 2" xfId="5831" xr:uid="{00000000-0005-0000-0000-00004C0A0000}"/>
    <cellStyle name="40% - Accent4 7 4 2 2 3" xfId="5832" xr:uid="{00000000-0005-0000-0000-00004D0A0000}"/>
    <cellStyle name="40% - Accent4 7 4 2 3" xfId="5833" xr:uid="{00000000-0005-0000-0000-00004E0A0000}"/>
    <cellStyle name="40% - Accent4 7 4 2 3 2" xfId="5834" xr:uid="{00000000-0005-0000-0000-00004F0A0000}"/>
    <cellStyle name="40% - Accent4 7 4 2 4" xfId="5835" xr:uid="{00000000-0005-0000-0000-0000500A0000}"/>
    <cellStyle name="40% - Accent4 7 4 2 5" xfId="5836" xr:uid="{00000000-0005-0000-0000-0000510A0000}"/>
    <cellStyle name="40% - Accent4 7 4 2 6" xfId="5837" xr:uid="{00000000-0005-0000-0000-0000520A0000}"/>
    <cellStyle name="40% - Accent4 7 4 2 7" xfId="5838" xr:uid="{00000000-0005-0000-0000-0000530A0000}"/>
    <cellStyle name="40% - Accent4 7 4 2 8" xfId="5839" xr:uid="{00000000-0005-0000-0000-0000540A0000}"/>
    <cellStyle name="40% - Accent4 7 4 3" xfId="5840" xr:uid="{00000000-0005-0000-0000-0000550A0000}"/>
    <cellStyle name="40% - Accent4 7 4 3 2" xfId="5841" xr:uid="{00000000-0005-0000-0000-0000560A0000}"/>
    <cellStyle name="40% - Accent4 7 4 3 2 2" xfId="5842" xr:uid="{00000000-0005-0000-0000-0000570A0000}"/>
    <cellStyle name="40% - Accent4 7 4 3 3" xfId="5843" xr:uid="{00000000-0005-0000-0000-0000580A0000}"/>
    <cellStyle name="40% - Accent4 7 4 3 4" xfId="5844" xr:uid="{00000000-0005-0000-0000-0000590A0000}"/>
    <cellStyle name="40% - Accent4 7 4 4" xfId="5845" xr:uid="{00000000-0005-0000-0000-00005A0A0000}"/>
    <cellStyle name="40% - Accent4 7 4 4 2" xfId="5846" xr:uid="{00000000-0005-0000-0000-00005B0A0000}"/>
    <cellStyle name="40% - Accent4 7 4 5" xfId="5847" xr:uid="{00000000-0005-0000-0000-00005C0A0000}"/>
    <cellStyle name="40% - Accent4 7 4 5 2" xfId="5848" xr:uid="{00000000-0005-0000-0000-00005D0A0000}"/>
    <cellStyle name="40% - Accent4 7 4 6" xfId="5849" xr:uid="{00000000-0005-0000-0000-00005E0A0000}"/>
    <cellStyle name="40% - Accent4 7 4 6 2" xfId="5850" xr:uid="{00000000-0005-0000-0000-00005F0A0000}"/>
    <cellStyle name="40% - Accent4 7 4 7" xfId="5851" xr:uid="{00000000-0005-0000-0000-0000600A0000}"/>
    <cellStyle name="40% - Accent4 7 4 8" xfId="5852" xr:uid="{00000000-0005-0000-0000-0000610A0000}"/>
    <cellStyle name="40% - Accent4 7 4 9" xfId="5853" xr:uid="{00000000-0005-0000-0000-0000620A0000}"/>
    <cellStyle name="40% - Accent4 7 5" xfId="5854" xr:uid="{00000000-0005-0000-0000-0000630A0000}"/>
    <cellStyle name="40% - Accent4 7 5 2" xfId="5855" xr:uid="{00000000-0005-0000-0000-0000640A0000}"/>
    <cellStyle name="40% - Accent4 7 5 2 2" xfId="5856" xr:uid="{00000000-0005-0000-0000-0000650A0000}"/>
    <cellStyle name="40% - Accent4 7 5 2 3" xfId="5857" xr:uid="{00000000-0005-0000-0000-0000660A0000}"/>
    <cellStyle name="40% - Accent4 7 5 3" xfId="5858" xr:uid="{00000000-0005-0000-0000-0000670A0000}"/>
    <cellStyle name="40% - Accent4 7 5 3 2" xfId="5859" xr:uid="{00000000-0005-0000-0000-0000680A0000}"/>
    <cellStyle name="40% - Accent4 7 5 4" xfId="5860" xr:uid="{00000000-0005-0000-0000-0000690A0000}"/>
    <cellStyle name="40% - Accent4 7 5 5" xfId="5861" xr:uid="{00000000-0005-0000-0000-00006A0A0000}"/>
    <cellStyle name="40% - Accent4 7 5 6" xfId="5862" xr:uid="{00000000-0005-0000-0000-00006B0A0000}"/>
    <cellStyle name="40% - Accent4 7 5 7" xfId="5863" xr:uid="{00000000-0005-0000-0000-00006C0A0000}"/>
    <cellStyle name="40% - Accent4 7 5 8" xfId="5864" xr:uid="{00000000-0005-0000-0000-00006D0A0000}"/>
    <cellStyle name="40% - Accent4 7 6" xfId="5865" xr:uid="{00000000-0005-0000-0000-00006E0A0000}"/>
    <cellStyle name="40% - Accent4 7 6 2" xfId="5866" xr:uid="{00000000-0005-0000-0000-00006F0A0000}"/>
    <cellStyle name="40% - Accent4 7 6 2 2" xfId="5867" xr:uid="{00000000-0005-0000-0000-0000700A0000}"/>
    <cellStyle name="40% - Accent4 7 6 3" xfId="5868" xr:uid="{00000000-0005-0000-0000-0000710A0000}"/>
    <cellStyle name="40% - Accent4 7 6 4" xfId="5869" xr:uid="{00000000-0005-0000-0000-0000720A0000}"/>
    <cellStyle name="40% - Accent4 7 7" xfId="5870" xr:uid="{00000000-0005-0000-0000-0000730A0000}"/>
    <cellStyle name="40% - Accent4 7 7 2" xfId="5871" xr:uid="{00000000-0005-0000-0000-0000740A0000}"/>
    <cellStyle name="40% - Accent4 7 8" xfId="5872" xr:uid="{00000000-0005-0000-0000-0000750A0000}"/>
    <cellStyle name="40% - Accent4 7 8 2" xfId="5873" xr:uid="{00000000-0005-0000-0000-0000760A0000}"/>
    <cellStyle name="40% - Accent4 7 9" xfId="5874" xr:uid="{00000000-0005-0000-0000-0000770A0000}"/>
    <cellStyle name="40% - Accent4 7 9 2" xfId="5875" xr:uid="{00000000-0005-0000-0000-0000780A0000}"/>
    <cellStyle name="40% - Accent4 8" xfId="5876" xr:uid="{00000000-0005-0000-0000-0000790A0000}"/>
    <cellStyle name="40% - Accent4 9" xfId="5877" xr:uid="{00000000-0005-0000-0000-00007A0A0000}"/>
    <cellStyle name="40% - Accent4 9 2" xfId="5878" xr:uid="{00000000-0005-0000-0000-00007B0A0000}"/>
    <cellStyle name="40% - Accent4 9 3" xfId="5879" xr:uid="{00000000-0005-0000-0000-00007C0A0000}"/>
    <cellStyle name="40% - Accent5 10" xfId="5880" xr:uid="{00000000-0005-0000-0000-00007D0A0000}"/>
    <cellStyle name="40% - Accent5 11" xfId="5881" xr:uid="{00000000-0005-0000-0000-00007E0A0000}"/>
    <cellStyle name="40% - Accent5 2" xfId="3011" xr:uid="{00000000-0005-0000-0000-00007F0A0000}"/>
    <cellStyle name="40% - Accent5 2 2" xfId="5882" xr:uid="{00000000-0005-0000-0000-0000800A0000}"/>
    <cellStyle name="40% - Accent5 2 2 2" xfId="5883" xr:uid="{00000000-0005-0000-0000-0000810A0000}"/>
    <cellStyle name="40% - Accent5 2 3" xfId="5884" xr:uid="{00000000-0005-0000-0000-0000820A0000}"/>
    <cellStyle name="40% - Accent5 2 4" xfId="5885" xr:uid="{00000000-0005-0000-0000-0000830A0000}"/>
    <cellStyle name="40% - Accent5 2 5" xfId="5886" xr:uid="{00000000-0005-0000-0000-0000840A0000}"/>
    <cellStyle name="40% - Accent5 2 6" xfId="5887" xr:uid="{00000000-0005-0000-0000-0000850A0000}"/>
    <cellStyle name="40% - Accent5 3" xfId="3012" xr:uid="{00000000-0005-0000-0000-0000860A0000}"/>
    <cellStyle name="40% - Accent5 3 2" xfId="5888" xr:uid="{00000000-0005-0000-0000-0000870A0000}"/>
    <cellStyle name="40% - Accent5 3 2 2" xfId="5889" xr:uid="{00000000-0005-0000-0000-0000880A0000}"/>
    <cellStyle name="40% - Accent5 3 3" xfId="5890" xr:uid="{00000000-0005-0000-0000-0000890A0000}"/>
    <cellStyle name="40% - Accent5 3 3 2" xfId="5891" xr:uid="{00000000-0005-0000-0000-00008A0A0000}"/>
    <cellStyle name="40% - Accent5 3 4" xfId="5892" xr:uid="{00000000-0005-0000-0000-00008B0A0000}"/>
    <cellStyle name="40% - Accent5 4" xfId="3192" xr:uid="{00000000-0005-0000-0000-00008C0A0000}"/>
    <cellStyle name="40% - Accent5 4 2" xfId="5893" xr:uid="{00000000-0005-0000-0000-00008D0A0000}"/>
    <cellStyle name="40% - Accent5 4 3" xfId="5894" xr:uid="{00000000-0005-0000-0000-00008E0A0000}"/>
    <cellStyle name="40% - Accent5 4 4" xfId="5895" xr:uid="{00000000-0005-0000-0000-00008F0A0000}"/>
    <cellStyle name="40% - Accent5 5" xfId="5896" xr:uid="{00000000-0005-0000-0000-0000900A0000}"/>
    <cellStyle name="40% - Accent5 5 2" xfId="5897" xr:uid="{00000000-0005-0000-0000-0000910A0000}"/>
    <cellStyle name="40% - Accent5 6" xfId="5898" xr:uid="{00000000-0005-0000-0000-0000920A0000}"/>
    <cellStyle name="40% - Accent5 6 2" xfId="5899" xr:uid="{00000000-0005-0000-0000-0000930A0000}"/>
    <cellStyle name="40% - Accent5 7" xfId="5900" xr:uid="{00000000-0005-0000-0000-0000940A0000}"/>
    <cellStyle name="40% - Accent5 7 10" xfId="5901" xr:uid="{00000000-0005-0000-0000-0000950A0000}"/>
    <cellStyle name="40% - Accent5 7 11" xfId="5902" xr:uid="{00000000-0005-0000-0000-0000960A0000}"/>
    <cellStyle name="40% - Accent5 7 12" xfId="5903" xr:uid="{00000000-0005-0000-0000-0000970A0000}"/>
    <cellStyle name="40% - Accent5 7 13" xfId="5904" xr:uid="{00000000-0005-0000-0000-0000980A0000}"/>
    <cellStyle name="40% - Accent5 7 14" xfId="5905" xr:uid="{00000000-0005-0000-0000-0000990A0000}"/>
    <cellStyle name="40% - Accent5 7 2" xfId="5906" xr:uid="{00000000-0005-0000-0000-00009A0A0000}"/>
    <cellStyle name="40% - Accent5 7 2 10" xfId="5907" xr:uid="{00000000-0005-0000-0000-00009B0A0000}"/>
    <cellStyle name="40% - Accent5 7 2 11" xfId="5908" xr:uid="{00000000-0005-0000-0000-00009C0A0000}"/>
    <cellStyle name="40% - Accent5 7 2 12" xfId="5909" xr:uid="{00000000-0005-0000-0000-00009D0A0000}"/>
    <cellStyle name="40% - Accent5 7 2 13" xfId="5910" xr:uid="{00000000-0005-0000-0000-00009E0A0000}"/>
    <cellStyle name="40% - Accent5 7 2 2" xfId="5911" xr:uid="{00000000-0005-0000-0000-00009F0A0000}"/>
    <cellStyle name="40% - Accent5 7 2 2 10" xfId="5912" xr:uid="{00000000-0005-0000-0000-0000A00A0000}"/>
    <cellStyle name="40% - Accent5 7 2 2 11" xfId="5913" xr:uid="{00000000-0005-0000-0000-0000A10A0000}"/>
    <cellStyle name="40% - Accent5 7 2 2 12" xfId="5914" xr:uid="{00000000-0005-0000-0000-0000A20A0000}"/>
    <cellStyle name="40% - Accent5 7 2 2 2" xfId="5915" xr:uid="{00000000-0005-0000-0000-0000A30A0000}"/>
    <cellStyle name="40% - Accent5 7 2 2 2 10" xfId="5916" xr:uid="{00000000-0005-0000-0000-0000A40A0000}"/>
    <cellStyle name="40% - Accent5 7 2 2 2 11" xfId="5917" xr:uid="{00000000-0005-0000-0000-0000A50A0000}"/>
    <cellStyle name="40% - Accent5 7 2 2 2 2" xfId="5918" xr:uid="{00000000-0005-0000-0000-0000A60A0000}"/>
    <cellStyle name="40% - Accent5 7 2 2 2 2 2" xfId="5919" xr:uid="{00000000-0005-0000-0000-0000A70A0000}"/>
    <cellStyle name="40% - Accent5 7 2 2 2 2 2 2" xfId="5920" xr:uid="{00000000-0005-0000-0000-0000A80A0000}"/>
    <cellStyle name="40% - Accent5 7 2 2 2 2 2 3" xfId="5921" xr:uid="{00000000-0005-0000-0000-0000A90A0000}"/>
    <cellStyle name="40% - Accent5 7 2 2 2 2 3" xfId="5922" xr:uid="{00000000-0005-0000-0000-0000AA0A0000}"/>
    <cellStyle name="40% - Accent5 7 2 2 2 2 3 2" xfId="5923" xr:uid="{00000000-0005-0000-0000-0000AB0A0000}"/>
    <cellStyle name="40% - Accent5 7 2 2 2 2 4" xfId="5924" xr:uid="{00000000-0005-0000-0000-0000AC0A0000}"/>
    <cellStyle name="40% - Accent5 7 2 2 2 2 5" xfId="5925" xr:uid="{00000000-0005-0000-0000-0000AD0A0000}"/>
    <cellStyle name="40% - Accent5 7 2 2 2 2 6" xfId="5926" xr:uid="{00000000-0005-0000-0000-0000AE0A0000}"/>
    <cellStyle name="40% - Accent5 7 2 2 2 2 7" xfId="5927" xr:uid="{00000000-0005-0000-0000-0000AF0A0000}"/>
    <cellStyle name="40% - Accent5 7 2 2 2 2 8" xfId="5928" xr:uid="{00000000-0005-0000-0000-0000B00A0000}"/>
    <cellStyle name="40% - Accent5 7 2 2 2 3" xfId="5929" xr:uid="{00000000-0005-0000-0000-0000B10A0000}"/>
    <cellStyle name="40% - Accent5 7 2 2 2 3 2" xfId="5930" xr:uid="{00000000-0005-0000-0000-0000B20A0000}"/>
    <cellStyle name="40% - Accent5 7 2 2 2 3 2 2" xfId="5931" xr:uid="{00000000-0005-0000-0000-0000B30A0000}"/>
    <cellStyle name="40% - Accent5 7 2 2 2 3 3" xfId="5932" xr:uid="{00000000-0005-0000-0000-0000B40A0000}"/>
    <cellStyle name="40% - Accent5 7 2 2 2 3 4" xfId="5933" xr:uid="{00000000-0005-0000-0000-0000B50A0000}"/>
    <cellStyle name="40% - Accent5 7 2 2 2 4" xfId="5934" xr:uid="{00000000-0005-0000-0000-0000B60A0000}"/>
    <cellStyle name="40% - Accent5 7 2 2 2 4 2" xfId="5935" xr:uid="{00000000-0005-0000-0000-0000B70A0000}"/>
    <cellStyle name="40% - Accent5 7 2 2 2 5" xfId="5936" xr:uid="{00000000-0005-0000-0000-0000B80A0000}"/>
    <cellStyle name="40% - Accent5 7 2 2 2 5 2" xfId="5937" xr:uid="{00000000-0005-0000-0000-0000B90A0000}"/>
    <cellStyle name="40% - Accent5 7 2 2 2 6" xfId="5938" xr:uid="{00000000-0005-0000-0000-0000BA0A0000}"/>
    <cellStyle name="40% - Accent5 7 2 2 2 6 2" xfId="5939" xr:uid="{00000000-0005-0000-0000-0000BB0A0000}"/>
    <cellStyle name="40% - Accent5 7 2 2 2 7" xfId="5940" xr:uid="{00000000-0005-0000-0000-0000BC0A0000}"/>
    <cellStyle name="40% - Accent5 7 2 2 2 8" xfId="5941" xr:uid="{00000000-0005-0000-0000-0000BD0A0000}"/>
    <cellStyle name="40% - Accent5 7 2 2 2 9" xfId="5942" xr:uid="{00000000-0005-0000-0000-0000BE0A0000}"/>
    <cellStyle name="40% - Accent5 7 2 2 3" xfId="5943" xr:uid="{00000000-0005-0000-0000-0000BF0A0000}"/>
    <cellStyle name="40% - Accent5 7 2 2 3 2" xfId="5944" xr:uid="{00000000-0005-0000-0000-0000C00A0000}"/>
    <cellStyle name="40% - Accent5 7 2 2 3 2 2" xfId="5945" xr:uid="{00000000-0005-0000-0000-0000C10A0000}"/>
    <cellStyle name="40% - Accent5 7 2 2 3 2 3" xfId="5946" xr:uid="{00000000-0005-0000-0000-0000C20A0000}"/>
    <cellStyle name="40% - Accent5 7 2 2 3 3" xfId="5947" xr:uid="{00000000-0005-0000-0000-0000C30A0000}"/>
    <cellStyle name="40% - Accent5 7 2 2 3 3 2" xfId="5948" xr:uid="{00000000-0005-0000-0000-0000C40A0000}"/>
    <cellStyle name="40% - Accent5 7 2 2 3 4" xfId="5949" xr:uid="{00000000-0005-0000-0000-0000C50A0000}"/>
    <cellStyle name="40% - Accent5 7 2 2 3 5" xfId="5950" xr:uid="{00000000-0005-0000-0000-0000C60A0000}"/>
    <cellStyle name="40% - Accent5 7 2 2 3 6" xfId="5951" xr:uid="{00000000-0005-0000-0000-0000C70A0000}"/>
    <cellStyle name="40% - Accent5 7 2 2 3 7" xfId="5952" xr:uid="{00000000-0005-0000-0000-0000C80A0000}"/>
    <cellStyle name="40% - Accent5 7 2 2 3 8" xfId="5953" xr:uid="{00000000-0005-0000-0000-0000C90A0000}"/>
    <cellStyle name="40% - Accent5 7 2 2 4" xfId="5954" xr:uid="{00000000-0005-0000-0000-0000CA0A0000}"/>
    <cellStyle name="40% - Accent5 7 2 2 4 2" xfId="5955" xr:uid="{00000000-0005-0000-0000-0000CB0A0000}"/>
    <cellStyle name="40% - Accent5 7 2 2 4 2 2" xfId="5956" xr:uid="{00000000-0005-0000-0000-0000CC0A0000}"/>
    <cellStyle name="40% - Accent5 7 2 2 4 3" xfId="5957" xr:uid="{00000000-0005-0000-0000-0000CD0A0000}"/>
    <cellStyle name="40% - Accent5 7 2 2 4 4" xfId="5958" xr:uid="{00000000-0005-0000-0000-0000CE0A0000}"/>
    <cellStyle name="40% - Accent5 7 2 2 5" xfId="5959" xr:uid="{00000000-0005-0000-0000-0000CF0A0000}"/>
    <cellStyle name="40% - Accent5 7 2 2 5 2" xfId="5960" xr:uid="{00000000-0005-0000-0000-0000D00A0000}"/>
    <cellStyle name="40% - Accent5 7 2 2 6" xfId="5961" xr:uid="{00000000-0005-0000-0000-0000D10A0000}"/>
    <cellStyle name="40% - Accent5 7 2 2 6 2" xfId="5962" xr:uid="{00000000-0005-0000-0000-0000D20A0000}"/>
    <cellStyle name="40% - Accent5 7 2 2 7" xfId="5963" xr:uid="{00000000-0005-0000-0000-0000D30A0000}"/>
    <cellStyle name="40% - Accent5 7 2 2 7 2" xfId="5964" xr:uid="{00000000-0005-0000-0000-0000D40A0000}"/>
    <cellStyle name="40% - Accent5 7 2 2 8" xfId="5965" xr:uid="{00000000-0005-0000-0000-0000D50A0000}"/>
    <cellStyle name="40% - Accent5 7 2 2 9" xfId="5966" xr:uid="{00000000-0005-0000-0000-0000D60A0000}"/>
    <cellStyle name="40% - Accent5 7 2 3" xfId="5967" xr:uid="{00000000-0005-0000-0000-0000D70A0000}"/>
    <cellStyle name="40% - Accent5 7 2 3 10" xfId="5968" xr:uid="{00000000-0005-0000-0000-0000D80A0000}"/>
    <cellStyle name="40% - Accent5 7 2 3 11" xfId="5969" xr:uid="{00000000-0005-0000-0000-0000D90A0000}"/>
    <cellStyle name="40% - Accent5 7 2 3 2" xfId="5970" xr:uid="{00000000-0005-0000-0000-0000DA0A0000}"/>
    <cellStyle name="40% - Accent5 7 2 3 2 2" xfId="5971" xr:uid="{00000000-0005-0000-0000-0000DB0A0000}"/>
    <cellStyle name="40% - Accent5 7 2 3 2 2 2" xfId="5972" xr:uid="{00000000-0005-0000-0000-0000DC0A0000}"/>
    <cellStyle name="40% - Accent5 7 2 3 2 2 3" xfId="5973" xr:uid="{00000000-0005-0000-0000-0000DD0A0000}"/>
    <cellStyle name="40% - Accent5 7 2 3 2 3" xfId="5974" xr:uid="{00000000-0005-0000-0000-0000DE0A0000}"/>
    <cellStyle name="40% - Accent5 7 2 3 2 3 2" xfId="5975" xr:uid="{00000000-0005-0000-0000-0000DF0A0000}"/>
    <cellStyle name="40% - Accent5 7 2 3 2 4" xfId="5976" xr:uid="{00000000-0005-0000-0000-0000E00A0000}"/>
    <cellStyle name="40% - Accent5 7 2 3 2 5" xfId="5977" xr:uid="{00000000-0005-0000-0000-0000E10A0000}"/>
    <cellStyle name="40% - Accent5 7 2 3 2 6" xfId="5978" xr:uid="{00000000-0005-0000-0000-0000E20A0000}"/>
    <cellStyle name="40% - Accent5 7 2 3 2 7" xfId="5979" xr:uid="{00000000-0005-0000-0000-0000E30A0000}"/>
    <cellStyle name="40% - Accent5 7 2 3 2 8" xfId="5980" xr:uid="{00000000-0005-0000-0000-0000E40A0000}"/>
    <cellStyle name="40% - Accent5 7 2 3 3" xfId="5981" xr:uid="{00000000-0005-0000-0000-0000E50A0000}"/>
    <cellStyle name="40% - Accent5 7 2 3 3 2" xfId="5982" xr:uid="{00000000-0005-0000-0000-0000E60A0000}"/>
    <cellStyle name="40% - Accent5 7 2 3 3 2 2" xfId="5983" xr:uid="{00000000-0005-0000-0000-0000E70A0000}"/>
    <cellStyle name="40% - Accent5 7 2 3 3 3" xfId="5984" xr:uid="{00000000-0005-0000-0000-0000E80A0000}"/>
    <cellStyle name="40% - Accent5 7 2 3 3 4" xfId="5985" xr:uid="{00000000-0005-0000-0000-0000E90A0000}"/>
    <cellStyle name="40% - Accent5 7 2 3 4" xfId="5986" xr:uid="{00000000-0005-0000-0000-0000EA0A0000}"/>
    <cellStyle name="40% - Accent5 7 2 3 4 2" xfId="5987" xr:uid="{00000000-0005-0000-0000-0000EB0A0000}"/>
    <cellStyle name="40% - Accent5 7 2 3 5" xfId="5988" xr:uid="{00000000-0005-0000-0000-0000EC0A0000}"/>
    <cellStyle name="40% - Accent5 7 2 3 5 2" xfId="5989" xr:uid="{00000000-0005-0000-0000-0000ED0A0000}"/>
    <cellStyle name="40% - Accent5 7 2 3 6" xfId="5990" xr:uid="{00000000-0005-0000-0000-0000EE0A0000}"/>
    <cellStyle name="40% - Accent5 7 2 3 6 2" xfId="5991" xr:uid="{00000000-0005-0000-0000-0000EF0A0000}"/>
    <cellStyle name="40% - Accent5 7 2 3 7" xfId="5992" xr:uid="{00000000-0005-0000-0000-0000F00A0000}"/>
    <cellStyle name="40% - Accent5 7 2 3 8" xfId="5993" xr:uid="{00000000-0005-0000-0000-0000F10A0000}"/>
    <cellStyle name="40% - Accent5 7 2 3 9" xfId="5994" xr:uid="{00000000-0005-0000-0000-0000F20A0000}"/>
    <cellStyle name="40% - Accent5 7 2 4" xfId="5995" xr:uid="{00000000-0005-0000-0000-0000F30A0000}"/>
    <cellStyle name="40% - Accent5 7 2 4 2" xfId="5996" xr:uid="{00000000-0005-0000-0000-0000F40A0000}"/>
    <cellStyle name="40% - Accent5 7 2 4 2 2" xfId="5997" xr:uid="{00000000-0005-0000-0000-0000F50A0000}"/>
    <cellStyle name="40% - Accent5 7 2 4 2 3" xfId="5998" xr:uid="{00000000-0005-0000-0000-0000F60A0000}"/>
    <cellStyle name="40% - Accent5 7 2 4 3" xfId="5999" xr:uid="{00000000-0005-0000-0000-0000F70A0000}"/>
    <cellStyle name="40% - Accent5 7 2 4 3 2" xfId="6000" xr:uid="{00000000-0005-0000-0000-0000F80A0000}"/>
    <cellStyle name="40% - Accent5 7 2 4 4" xfId="6001" xr:uid="{00000000-0005-0000-0000-0000F90A0000}"/>
    <cellStyle name="40% - Accent5 7 2 4 5" xfId="6002" xr:uid="{00000000-0005-0000-0000-0000FA0A0000}"/>
    <cellStyle name="40% - Accent5 7 2 4 6" xfId="6003" xr:uid="{00000000-0005-0000-0000-0000FB0A0000}"/>
    <cellStyle name="40% - Accent5 7 2 4 7" xfId="6004" xr:uid="{00000000-0005-0000-0000-0000FC0A0000}"/>
    <cellStyle name="40% - Accent5 7 2 4 8" xfId="6005" xr:uid="{00000000-0005-0000-0000-0000FD0A0000}"/>
    <cellStyle name="40% - Accent5 7 2 5" xfId="6006" xr:uid="{00000000-0005-0000-0000-0000FE0A0000}"/>
    <cellStyle name="40% - Accent5 7 2 5 2" xfId="6007" xr:uid="{00000000-0005-0000-0000-0000FF0A0000}"/>
    <cellStyle name="40% - Accent5 7 2 5 2 2" xfId="6008" xr:uid="{00000000-0005-0000-0000-0000000B0000}"/>
    <cellStyle name="40% - Accent5 7 2 5 3" xfId="6009" xr:uid="{00000000-0005-0000-0000-0000010B0000}"/>
    <cellStyle name="40% - Accent5 7 2 5 4" xfId="6010" xr:uid="{00000000-0005-0000-0000-0000020B0000}"/>
    <cellStyle name="40% - Accent5 7 2 6" xfId="6011" xr:uid="{00000000-0005-0000-0000-0000030B0000}"/>
    <cellStyle name="40% - Accent5 7 2 6 2" xfId="6012" xr:uid="{00000000-0005-0000-0000-0000040B0000}"/>
    <cellStyle name="40% - Accent5 7 2 7" xfId="6013" xr:uid="{00000000-0005-0000-0000-0000050B0000}"/>
    <cellStyle name="40% - Accent5 7 2 7 2" xfId="6014" xr:uid="{00000000-0005-0000-0000-0000060B0000}"/>
    <cellStyle name="40% - Accent5 7 2 8" xfId="6015" xr:uid="{00000000-0005-0000-0000-0000070B0000}"/>
    <cellStyle name="40% - Accent5 7 2 8 2" xfId="6016" xr:uid="{00000000-0005-0000-0000-0000080B0000}"/>
    <cellStyle name="40% - Accent5 7 2 9" xfId="6017" xr:uid="{00000000-0005-0000-0000-0000090B0000}"/>
    <cellStyle name="40% - Accent5 7 3" xfId="6018" xr:uid="{00000000-0005-0000-0000-00000A0B0000}"/>
    <cellStyle name="40% - Accent5 7 3 10" xfId="6019" xr:uid="{00000000-0005-0000-0000-00000B0B0000}"/>
    <cellStyle name="40% - Accent5 7 3 11" xfId="6020" xr:uid="{00000000-0005-0000-0000-00000C0B0000}"/>
    <cellStyle name="40% - Accent5 7 3 12" xfId="6021" xr:uid="{00000000-0005-0000-0000-00000D0B0000}"/>
    <cellStyle name="40% - Accent5 7 3 2" xfId="6022" xr:uid="{00000000-0005-0000-0000-00000E0B0000}"/>
    <cellStyle name="40% - Accent5 7 3 2 10" xfId="6023" xr:uid="{00000000-0005-0000-0000-00000F0B0000}"/>
    <cellStyle name="40% - Accent5 7 3 2 11" xfId="6024" xr:uid="{00000000-0005-0000-0000-0000100B0000}"/>
    <cellStyle name="40% - Accent5 7 3 2 2" xfId="6025" xr:uid="{00000000-0005-0000-0000-0000110B0000}"/>
    <cellStyle name="40% - Accent5 7 3 2 2 2" xfId="6026" xr:uid="{00000000-0005-0000-0000-0000120B0000}"/>
    <cellStyle name="40% - Accent5 7 3 2 2 2 2" xfId="6027" xr:uid="{00000000-0005-0000-0000-0000130B0000}"/>
    <cellStyle name="40% - Accent5 7 3 2 2 2 3" xfId="6028" xr:uid="{00000000-0005-0000-0000-0000140B0000}"/>
    <cellStyle name="40% - Accent5 7 3 2 2 3" xfId="6029" xr:uid="{00000000-0005-0000-0000-0000150B0000}"/>
    <cellStyle name="40% - Accent5 7 3 2 2 3 2" xfId="6030" xr:uid="{00000000-0005-0000-0000-0000160B0000}"/>
    <cellStyle name="40% - Accent5 7 3 2 2 4" xfId="6031" xr:uid="{00000000-0005-0000-0000-0000170B0000}"/>
    <cellStyle name="40% - Accent5 7 3 2 2 5" xfId="6032" xr:uid="{00000000-0005-0000-0000-0000180B0000}"/>
    <cellStyle name="40% - Accent5 7 3 2 2 6" xfId="6033" xr:uid="{00000000-0005-0000-0000-0000190B0000}"/>
    <cellStyle name="40% - Accent5 7 3 2 2 7" xfId="6034" xr:uid="{00000000-0005-0000-0000-00001A0B0000}"/>
    <cellStyle name="40% - Accent5 7 3 2 2 8" xfId="6035" xr:uid="{00000000-0005-0000-0000-00001B0B0000}"/>
    <cellStyle name="40% - Accent5 7 3 2 3" xfId="6036" xr:uid="{00000000-0005-0000-0000-00001C0B0000}"/>
    <cellStyle name="40% - Accent5 7 3 2 3 2" xfId="6037" xr:uid="{00000000-0005-0000-0000-00001D0B0000}"/>
    <cellStyle name="40% - Accent5 7 3 2 3 2 2" xfId="6038" xr:uid="{00000000-0005-0000-0000-00001E0B0000}"/>
    <cellStyle name="40% - Accent5 7 3 2 3 3" xfId="6039" xr:uid="{00000000-0005-0000-0000-00001F0B0000}"/>
    <cellStyle name="40% - Accent5 7 3 2 3 4" xfId="6040" xr:uid="{00000000-0005-0000-0000-0000200B0000}"/>
    <cellStyle name="40% - Accent5 7 3 2 4" xfId="6041" xr:uid="{00000000-0005-0000-0000-0000210B0000}"/>
    <cellStyle name="40% - Accent5 7 3 2 4 2" xfId="6042" xr:uid="{00000000-0005-0000-0000-0000220B0000}"/>
    <cellStyle name="40% - Accent5 7 3 2 5" xfId="6043" xr:uid="{00000000-0005-0000-0000-0000230B0000}"/>
    <cellStyle name="40% - Accent5 7 3 2 5 2" xfId="6044" xr:uid="{00000000-0005-0000-0000-0000240B0000}"/>
    <cellStyle name="40% - Accent5 7 3 2 6" xfId="6045" xr:uid="{00000000-0005-0000-0000-0000250B0000}"/>
    <cellStyle name="40% - Accent5 7 3 2 6 2" xfId="6046" xr:uid="{00000000-0005-0000-0000-0000260B0000}"/>
    <cellStyle name="40% - Accent5 7 3 2 7" xfId="6047" xr:uid="{00000000-0005-0000-0000-0000270B0000}"/>
    <cellStyle name="40% - Accent5 7 3 2 8" xfId="6048" xr:uid="{00000000-0005-0000-0000-0000280B0000}"/>
    <cellStyle name="40% - Accent5 7 3 2 9" xfId="6049" xr:uid="{00000000-0005-0000-0000-0000290B0000}"/>
    <cellStyle name="40% - Accent5 7 3 3" xfId="6050" xr:uid="{00000000-0005-0000-0000-00002A0B0000}"/>
    <cellStyle name="40% - Accent5 7 3 3 2" xfId="6051" xr:uid="{00000000-0005-0000-0000-00002B0B0000}"/>
    <cellStyle name="40% - Accent5 7 3 3 2 2" xfId="6052" xr:uid="{00000000-0005-0000-0000-00002C0B0000}"/>
    <cellStyle name="40% - Accent5 7 3 3 2 3" xfId="6053" xr:uid="{00000000-0005-0000-0000-00002D0B0000}"/>
    <cellStyle name="40% - Accent5 7 3 3 3" xfId="6054" xr:uid="{00000000-0005-0000-0000-00002E0B0000}"/>
    <cellStyle name="40% - Accent5 7 3 3 3 2" xfId="6055" xr:uid="{00000000-0005-0000-0000-00002F0B0000}"/>
    <cellStyle name="40% - Accent5 7 3 3 4" xfId="6056" xr:uid="{00000000-0005-0000-0000-0000300B0000}"/>
    <cellStyle name="40% - Accent5 7 3 3 5" xfId="6057" xr:uid="{00000000-0005-0000-0000-0000310B0000}"/>
    <cellStyle name="40% - Accent5 7 3 3 6" xfId="6058" xr:uid="{00000000-0005-0000-0000-0000320B0000}"/>
    <cellStyle name="40% - Accent5 7 3 3 7" xfId="6059" xr:uid="{00000000-0005-0000-0000-0000330B0000}"/>
    <cellStyle name="40% - Accent5 7 3 3 8" xfId="6060" xr:uid="{00000000-0005-0000-0000-0000340B0000}"/>
    <cellStyle name="40% - Accent5 7 3 4" xfId="6061" xr:uid="{00000000-0005-0000-0000-0000350B0000}"/>
    <cellStyle name="40% - Accent5 7 3 4 2" xfId="6062" xr:uid="{00000000-0005-0000-0000-0000360B0000}"/>
    <cellStyle name="40% - Accent5 7 3 4 2 2" xfId="6063" xr:uid="{00000000-0005-0000-0000-0000370B0000}"/>
    <cellStyle name="40% - Accent5 7 3 4 3" xfId="6064" xr:uid="{00000000-0005-0000-0000-0000380B0000}"/>
    <cellStyle name="40% - Accent5 7 3 4 4" xfId="6065" xr:uid="{00000000-0005-0000-0000-0000390B0000}"/>
    <cellStyle name="40% - Accent5 7 3 5" xfId="6066" xr:uid="{00000000-0005-0000-0000-00003A0B0000}"/>
    <cellStyle name="40% - Accent5 7 3 5 2" xfId="6067" xr:uid="{00000000-0005-0000-0000-00003B0B0000}"/>
    <cellStyle name="40% - Accent5 7 3 6" xfId="6068" xr:uid="{00000000-0005-0000-0000-00003C0B0000}"/>
    <cellStyle name="40% - Accent5 7 3 6 2" xfId="6069" xr:uid="{00000000-0005-0000-0000-00003D0B0000}"/>
    <cellStyle name="40% - Accent5 7 3 7" xfId="6070" xr:uid="{00000000-0005-0000-0000-00003E0B0000}"/>
    <cellStyle name="40% - Accent5 7 3 7 2" xfId="6071" xr:uid="{00000000-0005-0000-0000-00003F0B0000}"/>
    <cellStyle name="40% - Accent5 7 3 8" xfId="6072" xr:uid="{00000000-0005-0000-0000-0000400B0000}"/>
    <cellStyle name="40% - Accent5 7 3 9" xfId="6073" xr:uid="{00000000-0005-0000-0000-0000410B0000}"/>
    <cellStyle name="40% - Accent5 7 4" xfId="6074" xr:uid="{00000000-0005-0000-0000-0000420B0000}"/>
    <cellStyle name="40% - Accent5 7 4 10" xfId="6075" xr:uid="{00000000-0005-0000-0000-0000430B0000}"/>
    <cellStyle name="40% - Accent5 7 4 11" xfId="6076" xr:uid="{00000000-0005-0000-0000-0000440B0000}"/>
    <cellStyle name="40% - Accent5 7 4 2" xfId="6077" xr:uid="{00000000-0005-0000-0000-0000450B0000}"/>
    <cellStyle name="40% - Accent5 7 4 2 2" xfId="6078" xr:uid="{00000000-0005-0000-0000-0000460B0000}"/>
    <cellStyle name="40% - Accent5 7 4 2 2 2" xfId="6079" xr:uid="{00000000-0005-0000-0000-0000470B0000}"/>
    <cellStyle name="40% - Accent5 7 4 2 2 3" xfId="6080" xr:uid="{00000000-0005-0000-0000-0000480B0000}"/>
    <cellStyle name="40% - Accent5 7 4 2 3" xfId="6081" xr:uid="{00000000-0005-0000-0000-0000490B0000}"/>
    <cellStyle name="40% - Accent5 7 4 2 3 2" xfId="6082" xr:uid="{00000000-0005-0000-0000-00004A0B0000}"/>
    <cellStyle name="40% - Accent5 7 4 2 4" xfId="6083" xr:uid="{00000000-0005-0000-0000-00004B0B0000}"/>
    <cellStyle name="40% - Accent5 7 4 2 5" xfId="6084" xr:uid="{00000000-0005-0000-0000-00004C0B0000}"/>
    <cellStyle name="40% - Accent5 7 4 2 6" xfId="6085" xr:uid="{00000000-0005-0000-0000-00004D0B0000}"/>
    <cellStyle name="40% - Accent5 7 4 2 7" xfId="6086" xr:uid="{00000000-0005-0000-0000-00004E0B0000}"/>
    <cellStyle name="40% - Accent5 7 4 2 8" xfId="6087" xr:uid="{00000000-0005-0000-0000-00004F0B0000}"/>
    <cellStyle name="40% - Accent5 7 4 3" xfId="6088" xr:uid="{00000000-0005-0000-0000-0000500B0000}"/>
    <cellStyle name="40% - Accent5 7 4 3 2" xfId="6089" xr:uid="{00000000-0005-0000-0000-0000510B0000}"/>
    <cellStyle name="40% - Accent5 7 4 3 2 2" xfId="6090" xr:uid="{00000000-0005-0000-0000-0000520B0000}"/>
    <cellStyle name="40% - Accent5 7 4 3 3" xfId="6091" xr:uid="{00000000-0005-0000-0000-0000530B0000}"/>
    <cellStyle name="40% - Accent5 7 4 3 4" xfId="6092" xr:uid="{00000000-0005-0000-0000-0000540B0000}"/>
    <cellStyle name="40% - Accent5 7 4 4" xfId="6093" xr:uid="{00000000-0005-0000-0000-0000550B0000}"/>
    <cellStyle name="40% - Accent5 7 4 4 2" xfId="6094" xr:uid="{00000000-0005-0000-0000-0000560B0000}"/>
    <cellStyle name="40% - Accent5 7 4 5" xfId="6095" xr:uid="{00000000-0005-0000-0000-0000570B0000}"/>
    <cellStyle name="40% - Accent5 7 4 5 2" xfId="6096" xr:uid="{00000000-0005-0000-0000-0000580B0000}"/>
    <cellStyle name="40% - Accent5 7 4 6" xfId="6097" xr:uid="{00000000-0005-0000-0000-0000590B0000}"/>
    <cellStyle name="40% - Accent5 7 4 6 2" xfId="6098" xr:uid="{00000000-0005-0000-0000-00005A0B0000}"/>
    <cellStyle name="40% - Accent5 7 4 7" xfId="6099" xr:uid="{00000000-0005-0000-0000-00005B0B0000}"/>
    <cellStyle name="40% - Accent5 7 4 8" xfId="6100" xr:uid="{00000000-0005-0000-0000-00005C0B0000}"/>
    <cellStyle name="40% - Accent5 7 4 9" xfId="6101" xr:uid="{00000000-0005-0000-0000-00005D0B0000}"/>
    <cellStyle name="40% - Accent5 7 5" xfId="6102" xr:uid="{00000000-0005-0000-0000-00005E0B0000}"/>
    <cellStyle name="40% - Accent5 7 5 2" xfId="6103" xr:uid="{00000000-0005-0000-0000-00005F0B0000}"/>
    <cellStyle name="40% - Accent5 7 5 2 2" xfId="6104" xr:uid="{00000000-0005-0000-0000-0000600B0000}"/>
    <cellStyle name="40% - Accent5 7 5 2 3" xfId="6105" xr:uid="{00000000-0005-0000-0000-0000610B0000}"/>
    <cellStyle name="40% - Accent5 7 5 3" xfId="6106" xr:uid="{00000000-0005-0000-0000-0000620B0000}"/>
    <cellStyle name="40% - Accent5 7 5 3 2" xfId="6107" xr:uid="{00000000-0005-0000-0000-0000630B0000}"/>
    <cellStyle name="40% - Accent5 7 5 4" xfId="6108" xr:uid="{00000000-0005-0000-0000-0000640B0000}"/>
    <cellStyle name="40% - Accent5 7 5 5" xfId="6109" xr:uid="{00000000-0005-0000-0000-0000650B0000}"/>
    <cellStyle name="40% - Accent5 7 5 6" xfId="6110" xr:uid="{00000000-0005-0000-0000-0000660B0000}"/>
    <cellStyle name="40% - Accent5 7 5 7" xfId="6111" xr:uid="{00000000-0005-0000-0000-0000670B0000}"/>
    <cellStyle name="40% - Accent5 7 5 8" xfId="6112" xr:uid="{00000000-0005-0000-0000-0000680B0000}"/>
    <cellStyle name="40% - Accent5 7 6" xfId="6113" xr:uid="{00000000-0005-0000-0000-0000690B0000}"/>
    <cellStyle name="40% - Accent5 7 6 2" xfId="6114" xr:uid="{00000000-0005-0000-0000-00006A0B0000}"/>
    <cellStyle name="40% - Accent5 7 6 2 2" xfId="6115" xr:uid="{00000000-0005-0000-0000-00006B0B0000}"/>
    <cellStyle name="40% - Accent5 7 6 3" xfId="6116" xr:uid="{00000000-0005-0000-0000-00006C0B0000}"/>
    <cellStyle name="40% - Accent5 7 6 4" xfId="6117" xr:uid="{00000000-0005-0000-0000-00006D0B0000}"/>
    <cellStyle name="40% - Accent5 7 7" xfId="6118" xr:uid="{00000000-0005-0000-0000-00006E0B0000}"/>
    <cellStyle name="40% - Accent5 7 7 2" xfId="6119" xr:uid="{00000000-0005-0000-0000-00006F0B0000}"/>
    <cellStyle name="40% - Accent5 7 8" xfId="6120" xr:uid="{00000000-0005-0000-0000-0000700B0000}"/>
    <cellStyle name="40% - Accent5 7 8 2" xfId="6121" xr:uid="{00000000-0005-0000-0000-0000710B0000}"/>
    <cellStyle name="40% - Accent5 7 9" xfId="6122" xr:uid="{00000000-0005-0000-0000-0000720B0000}"/>
    <cellStyle name="40% - Accent5 7 9 2" xfId="6123" xr:uid="{00000000-0005-0000-0000-0000730B0000}"/>
    <cellStyle name="40% - Accent5 8" xfId="6124" xr:uid="{00000000-0005-0000-0000-0000740B0000}"/>
    <cellStyle name="40% - Accent5 9" xfId="6125" xr:uid="{00000000-0005-0000-0000-0000750B0000}"/>
    <cellStyle name="40% - Accent5 9 2" xfId="6126" xr:uid="{00000000-0005-0000-0000-0000760B0000}"/>
    <cellStyle name="40% - Accent5 9 3" xfId="6127" xr:uid="{00000000-0005-0000-0000-0000770B0000}"/>
    <cellStyle name="40% - Accent6 10" xfId="6128" xr:uid="{00000000-0005-0000-0000-0000780B0000}"/>
    <cellStyle name="40% - Accent6 11" xfId="6129" xr:uid="{00000000-0005-0000-0000-0000790B0000}"/>
    <cellStyle name="40% - Accent6 2" xfId="3013" xr:uid="{00000000-0005-0000-0000-00007A0B0000}"/>
    <cellStyle name="40% - Accent6 2 2" xfId="6130" xr:uid="{00000000-0005-0000-0000-00007B0B0000}"/>
    <cellStyle name="40% - Accent6 2 2 2" xfId="6131" xr:uid="{00000000-0005-0000-0000-00007C0B0000}"/>
    <cellStyle name="40% - Accent6 2 3" xfId="6132" xr:uid="{00000000-0005-0000-0000-00007D0B0000}"/>
    <cellStyle name="40% - Accent6 2 4" xfId="6133" xr:uid="{00000000-0005-0000-0000-00007E0B0000}"/>
    <cellStyle name="40% - Accent6 2 5" xfId="6134" xr:uid="{00000000-0005-0000-0000-00007F0B0000}"/>
    <cellStyle name="40% - Accent6 2 6" xfId="6135" xr:uid="{00000000-0005-0000-0000-0000800B0000}"/>
    <cellStyle name="40% - Accent6 2 7" xfId="6136" xr:uid="{00000000-0005-0000-0000-0000810B0000}"/>
    <cellStyle name="40% - Accent6 3" xfId="3014" xr:uid="{00000000-0005-0000-0000-0000820B0000}"/>
    <cellStyle name="40% - Accent6 3 2" xfId="6137" xr:uid="{00000000-0005-0000-0000-0000830B0000}"/>
    <cellStyle name="40% - Accent6 3 2 2" xfId="6138" xr:uid="{00000000-0005-0000-0000-0000840B0000}"/>
    <cellStyle name="40% - Accent6 3 3" xfId="6139" xr:uid="{00000000-0005-0000-0000-0000850B0000}"/>
    <cellStyle name="40% - Accent6 3 3 2" xfId="6140" xr:uid="{00000000-0005-0000-0000-0000860B0000}"/>
    <cellStyle name="40% - Accent6 3 4" xfId="6141" xr:uid="{00000000-0005-0000-0000-0000870B0000}"/>
    <cellStyle name="40% - Accent6 4" xfId="3193" xr:uid="{00000000-0005-0000-0000-0000880B0000}"/>
    <cellStyle name="40% - Accent6 4 2" xfId="6142" xr:uid="{00000000-0005-0000-0000-0000890B0000}"/>
    <cellStyle name="40% - Accent6 4 3" xfId="6143" xr:uid="{00000000-0005-0000-0000-00008A0B0000}"/>
    <cellStyle name="40% - Accent6 4 4" xfId="6144" xr:uid="{00000000-0005-0000-0000-00008B0B0000}"/>
    <cellStyle name="40% - Accent6 5" xfId="6145" xr:uid="{00000000-0005-0000-0000-00008C0B0000}"/>
    <cellStyle name="40% - Accent6 5 2" xfId="6146" xr:uid="{00000000-0005-0000-0000-00008D0B0000}"/>
    <cellStyle name="40% - Accent6 6" xfId="6147" xr:uid="{00000000-0005-0000-0000-00008E0B0000}"/>
    <cellStyle name="40% - Accent6 6 2" xfId="6148" xr:uid="{00000000-0005-0000-0000-00008F0B0000}"/>
    <cellStyle name="40% - Accent6 7" xfId="6149" xr:uid="{00000000-0005-0000-0000-0000900B0000}"/>
    <cellStyle name="40% - Accent6 7 10" xfId="6150" xr:uid="{00000000-0005-0000-0000-0000910B0000}"/>
    <cellStyle name="40% - Accent6 7 11" xfId="6151" xr:uid="{00000000-0005-0000-0000-0000920B0000}"/>
    <cellStyle name="40% - Accent6 7 12" xfId="6152" xr:uid="{00000000-0005-0000-0000-0000930B0000}"/>
    <cellStyle name="40% - Accent6 7 13" xfId="6153" xr:uid="{00000000-0005-0000-0000-0000940B0000}"/>
    <cellStyle name="40% - Accent6 7 14" xfId="6154" xr:uid="{00000000-0005-0000-0000-0000950B0000}"/>
    <cellStyle name="40% - Accent6 7 2" xfId="6155" xr:uid="{00000000-0005-0000-0000-0000960B0000}"/>
    <cellStyle name="40% - Accent6 7 2 10" xfId="6156" xr:uid="{00000000-0005-0000-0000-0000970B0000}"/>
    <cellStyle name="40% - Accent6 7 2 11" xfId="6157" xr:uid="{00000000-0005-0000-0000-0000980B0000}"/>
    <cellStyle name="40% - Accent6 7 2 12" xfId="6158" xr:uid="{00000000-0005-0000-0000-0000990B0000}"/>
    <cellStyle name="40% - Accent6 7 2 13" xfId="6159" xr:uid="{00000000-0005-0000-0000-00009A0B0000}"/>
    <cellStyle name="40% - Accent6 7 2 2" xfId="6160" xr:uid="{00000000-0005-0000-0000-00009B0B0000}"/>
    <cellStyle name="40% - Accent6 7 2 2 10" xfId="6161" xr:uid="{00000000-0005-0000-0000-00009C0B0000}"/>
    <cellStyle name="40% - Accent6 7 2 2 11" xfId="6162" xr:uid="{00000000-0005-0000-0000-00009D0B0000}"/>
    <cellStyle name="40% - Accent6 7 2 2 12" xfId="6163" xr:uid="{00000000-0005-0000-0000-00009E0B0000}"/>
    <cellStyle name="40% - Accent6 7 2 2 2" xfId="6164" xr:uid="{00000000-0005-0000-0000-00009F0B0000}"/>
    <cellStyle name="40% - Accent6 7 2 2 2 10" xfId="6165" xr:uid="{00000000-0005-0000-0000-0000A00B0000}"/>
    <cellStyle name="40% - Accent6 7 2 2 2 11" xfId="6166" xr:uid="{00000000-0005-0000-0000-0000A10B0000}"/>
    <cellStyle name="40% - Accent6 7 2 2 2 2" xfId="6167" xr:uid="{00000000-0005-0000-0000-0000A20B0000}"/>
    <cellStyle name="40% - Accent6 7 2 2 2 2 2" xfId="6168" xr:uid="{00000000-0005-0000-0000-0000A30B0000}"/>
    <cellStyle name="40% - Accent6 7 2 2 2 2 2 2" xfId="6169" xr:uid="{00000000-0005-0000-0000-0000A40B0000}"/>
    <cellStyle name="40% - Accent6 7 2 2 2 2 2 3" xfId="6170" xr:uid="{00000000-0005-0000-0000-0000A50B0000}"/>
    <cellStyle name="40% - Accent6 7 2 2 2 2 3" xfId="6171" xr:uid="{00000000-0005-0000-0000-0000A60B0000}"/>
    <cellStyle name="40% - Accent6 7 2 2 2 2 3 2" xfId="6172" xr:uid="{00000000-0005-0000-0000-0000A70B0000}"/>
    <cellStyle name="40% - Accent6 7 2 2 2 2 4" xfId="6173" xr:uid="{00000000-0005-0000-0000-0000A80B0000}"/>
    <cellStyle name="40% - Accent6 7 2 2 2 2 5" xfId="6174" xr:uid="{00000000-0005-0000-0000-0000A90B0000}"/>
    <cellStyle name="40% - Accent6 7 2 2 2 2 6" xfId="6175" xr:uid="{00000000-0005-0000-0000-0000AA0B0000}"/>
    <cellStyle name="40% - Accent6 7 2 2 2 2 7" xfId="6176" xr:uid="{00000000-0005-0000-0000-0000AB0B0000}"/>
    <cellStyle name="40% - Accent6 7 2 2 2 2 8" xfId="6177" xr:uid="{00000000-0005-0000-0000-0000AC0B0000}"/>
    <cellStyle name="40% - Accent6 7 2 2 2 3" xfId="6178" xr:uid="{00000000-0005-0000-0000-0000AD0B0000}"/>
    <cellStyle name="40% - Accent6 7 2 2 2 3 2" xfId="6179" xr:uid="{00000000-0005-0000-0000-0000AE0B0000}"/>
    <cellStyle name="40% - Accent6 7 2 2 2 3 2 2" xfId="6180" xr:uid="{00000000-0005-0000-0000-0000AF0B0000}"/>
    <cellStyle name="40% - Accent6 7 2 2 2 3 3" xfId="6181" xr:uid="{00000000-0005-0000-0000-0000B00B0000}"/>
    <cellStyle name="40% - Accent6 7 2 2 2 3 4" xfId="6182" xr:uid="{00000000-0005-0000-0000-0000B10B0000}"/>
    <cellStyle name="40% - Accent6 7 2 2 2 4" xfId="6183" xr:uid="{00000000-0005-0000-0000-0000B20B0000}"/>
    <cellStyle name="40% - Accent6 7 2 2 2 4 2" xfId="6184" xr:uid="{00000000-0005-0000-0000-0000B30B0000}"/>
    <cellStyle name="40% - Accent6 7 2 2 2 5" xfId="6185" xr:uid="{00000000-0005-0000-0000-0000B40B0000}"/>
    <cellStyle name="40% - Accent6 7 2 2 2 5 2" xfId="6186" xr:uid="{00000000-0005-0000-0000-0000B50B0000}"/>
    <cellStyle name="40% - Accent6 7 2 2 2 6" xfId="6187" xr:uid="{00000000-0005-0000-0000-0000B60B0000}"/>
    <cellStyle name="40% - Accent6 7 2 2 2 6 2" xfId="6188" xr:uid="{00000000-0005-0000-0000-0000B70B0000}"/>
    <cellStyle name="40% - Accent6 7 2 2 2 7" xfId="6189" xr:uid="{00000000-0005-0000-0000-0000B80B0000}"/>
    <cellStyle name="40% - Accent6 7 2 2 2 8" xfId="6190" xr:uid="{00000000-0005-0000-0000-0000B90B0000}"/>
    <cellStyle name="40% - Accent6 7 2 2 2 9" xfId="6191" xr:uid="{00000000-0005-0000-0000-0000BA0B0000}"/>
    <cellStyle name="40% - Accent6 7 2 2 3" xfId="6192" xr:uid="{00000000-0005-0000-0000-0000BB0B0000}"/>
    <cellStyle name="40% - Accent6 7 2 2 3 2" xfId="6193" xr:uid="{00000000-0005-0000-0000-0000BC0B0000}"/>
    <cellStyle name="40% - Accent6 7 2 2 3 2 2" xfId="6194" xr:uid="{00000000-0005-0000-0000-0000BD0B0000}"/>
    <cellStyle name="40% - Accent6 7 2 2 3 2 3" xfId="6195" xr:uid="{00000000-0005-0000-0000-0000BE0B0000}"/>
    <cellStyle name="40% - Accent6 7 2 2 3 3" xfId="6196" xr:uid="{00000000-0005-0000-0000-0000BF0B0000}"/>
    <cellStyle name="40% - Accent6 7 2 2 3 3 2" xfId="6197" xr:uid="{00000000-0005-0000-0000-0000C00B0000}"/>
    <cellStyle name="40% - Accent6 7 2 2 3 4" xfId="6198" xr:uid="{00000000-0005-0000-0000-0000C10B0000}"/>
    <cellStyle name="40% - Accent6 7 2 2 3 5" xfId="6199" xr:uid="{00000000-0005-0000-0000-0000C20B0000}"/>
    <cellStyle name="40% - Accent6 7 2 2 3 6" xfId="6200" xr:uid="{00000000-0005-0000-0000-0000C30B0000}"/>
    <cellStyle name="40% - Accent6 7 2 2 3 7" xfId="6201" xr:uid="{00000000-0005-0000-0000-0000C40B0000}"/>
    <cellStyle name="40% - Accent6 7 2 2 3 8" xfId="6202" xr:uid="{00000000-0005-0000-0000-0000C50B0000}"/>
    <cellStyle name="40% - Accent6 7 2 2 4" xfId="6203" xr:uid="{00000000-0005-0000-0000-0000C60B0000}"/>
    <cellStyle name="40% - Accent6 7 2 2 4 2" xfId="6204" xr:uid="{00000000-0005-0000-0000-0000C70B0000}"/>
    <cellStyle name="40% - Accent6 7 2 2 4 2 2" xfId="6205" xr:uid="{00000000-0005-0000-0000-0000C80B0000}"/>
    <cellStyle name="40% - Accent6 7 2 2 4 3" xfId="6206" xr:uid="{00000000-0005-0000-0000-0000C90B0000}"/>
    <cellStyle name="40% - Accent6 7 2 2 4 4" xfId="6207" xr:uid="{00000000-0005-0000-0000-0000CA0B0000}"/>
    <cellStyle name="40% - Accent6 7 2 2 5" xfId="6208" xr:uid="{00000000-0005-0000-0000-0000CB0B0000}"/>
    <cellStyle name="40% - Accent6 7 2 2 5 2" xfId="6209" xr:uid="{00000000-0005-0000-0000-0000CC0B0000}"/>
    <cellStyle name="40% - Accent6 7 2 2 6" xfId="6210" xr:uid="{00000000-0005-0000-0000-0000CD0B0000}"/>
    <cellStyle name="40% - Accent6 7 2 2 6 2" xfId="6211" xr:uid="{00000000-0005-0000-0000-0000CE0B0000}"/>
    <cellStyle name="40% - Accent6 7 2 2 7" xfId="6212" xr:uid="{00000000-0005-0000-0000-0000CF0B0000}"/>
    <cellStyle name="40% - Accent6 7 2 2 7 2" xfId="6213" xr:uid="{00000000-0005-0000-0000-0000D00B0000}"/>
    <cellStyle name="40% - Accent6 7 2 2 8" xfId="6214" xr:uid="{00000000-0005-0000-0000-0000D10B0000}"/>
    <cellStyle name="40% - Accent6 7 2 2 9" xfId="6215" xr:uid="{00000000-0005-0000-0000-0000D20B0000}"/>
    <cellStyle name="40% - Accent6 7 2 3" xfId="6216" xr:uid="{00000000-0005-0000-0000-0000D30B0000}"/>
    <cellStyle name="40% - Accent6 7 2 3 10" xfId="6217" xr:uid="{00000000-0005-0000-0000-0000D40B0000}"/>
    <cellStyle name="40% - Accent6 7 2 3 11" xfId="6218" xr:uid="{00000000-0005-0000-0000-0000D50B0000}"/>
    <cellStyle name="40% - Accent6 7 2 3 2" xfId="6219" xr:uid="{00000000-0005-0000-0000-0000D60B0000}"/>
    <cellStyle name="40% - Accent6 7 2 3 2 2" xfId="6220" xr:uid="{00000000-0005-0000-0000-0000D70B0000}"/>
    <cellStyle name="40% - Accent6 7 2 3 2 2 2" xfId="6221" xr:uid="{00000000-0005-0000-0000-0000D80B0000}"/>
    <cellStyle name="40% - Accent6 7 2 3 2 2 3" xfId="6222" xr:uid="{00000000-0005-0000-0000-0000D90B0000}"/>
    <cellStyle name="40% - Accent6 7 2 3 2 3" xfId="6223" xr:uid="{00000000-0005-0000-0000-0000DA0B0000}"/>
    <cellStyle name="40% - Accent6 7 2 3 2 3 2" xfId="6224" xr:uid="{00000000-0005-0000-0000-0000DB0B0000}"/>
    <cellStyle name="40% - Accent6 7 2 3 2 4" xfId="6225" xr:uid="{00000000-0005-0000-0000-0000DC0B0000}"/>
    <cellStyle name="40% - Accent6 7 2 3 2 5" xfId="6226" xr:uid="{00000000-0005-0000-0000-0000DD0B0000}"/>
    <cellStyle name="40% - Accent6 7 2 3 2 6" xfId="6227" xr:uid="{00000000-0005-0000-0000-0000DE0B0000}"/>
    <cellStyle name="40% - Accent6 7 2 3 2 7" xfId="6228" xr:uid="{00000000-0005-0000-0000-0000DF0B0000}"/>
    <cellStyle name="40% - Accent6 7 2 3 2 8" xfId="6229" xr:uid="{00000000-0005-0000-0000-0000E00B0000}"/>
    <cellStyle name="40% - Accent6 7 2 3 3" xfId="6230" xr:uid="{00000000-0005-0000-0000-0000E10B0000}"/>
    <cellStyle name="40% - Accent6 7 2 3 3 2" xfId="6231" xr:uid="{00000000-0005-0000-0000-0000E20B0000}"/>
    <cellStyle name="40% - Accent6 7 2 3 3 2 2" xfId="6232" xr:uid="{00000000-0005-0000-0000-0000E30B0000}"/>
    <cellStyle name="40% - Accent6 7 2 3 3 3" xfId="6233" xr:uid="{00000000-0005-0000-0000-0000E40B0000}"/>
    <cellStyle name="40% - Accent6 7 2 3 3 4" xfId="6234" xr:uid="{00000000-0005-0000-0000-0000E50B0000}"/>
    <cellStyle name="40% - Accent6 7 2 3 4" xfId="6235" xr:uid="{00000000-0005-0000-0000-0000E60B0000}"/>
    <cellStyle name="40% - Accent6 7 2 3 4 2" xfId="6236" xr:uid="{00000000-0005-0000-0000-0000E70B0000}"/>
    <cellStyle name="40% - Accent6 7 2 3 5" xfId="6237" xr:uid="{00000000-0005-0000-0000-0000E80B0000}"/>
    <cellStyle name="40% - Accent6 7 2 3 5 2" xfId="6238" xr:uid="{00000000-0005-0000-0000-0000E90B0000}"/>
    <cellStyle name="40% - Accent6 7 2 3 6" xfId="6239" xr:uid="{00000000-0005-0000-0000-0000EA0B0000}"/>
    <cellStyle name="40% - Accent6 7 2 3 6 2" xfId="6240" xr:uid="{00000000-0005-0000-0000-0000EB0B0000}"/>
    <cellStyle name="40% - Accent6 7 2 3 7" xfId="6241" xr:uid="{00000000-0005-0000-0000-0000EC0B0000}"/>
    <cellStyle name="40% - Accent6 7 2 3 8" xfId="6242" xr:uid="{00000000-0005-0000-0000-0000ED0B0000}"/>
    <cellStyle name="40% - Accent6 7 2 3 9" xfId="6243" xr:uid="{00000000-0005-0000-0000-0000EE0B0000}"/>
    <cellStyle name="40% - Accent6 7 2 4" xfId="6244" xr:uid="{00000000-0005-0000-0000-0000EF0B0000}"/>
    <cellStyle name="40% - Accent6 7 2 4 2" xfId="6245" xr:uid="{00000000-0005-0000-0000-0000F00B0000}"/>
    <cellStyle name="40% - Accent6 7 2 4 2 2" xfId="6246" xr:uid="{00000000-0005-0000-0000-0000F10B0000}"/>
    <cellStyle name="40% - Accent6 7 2 4 2 3" xfId="6247" xr:uid="{00000000-0005-0000-0000-0000F20B0000}"/>
    <cellStyle name="40% - Accent6 7 2 4 3" xfId="6248" xr:uid="{00000000-0005-0000-0000-0000F30B0000}"/>
    <cellStyle name="40% - Accent6 7 2 4 3 2" xfId="6249" xr:uid="{00000000-0005-0000-0000-0000F40B0000}"/>
    <cellStyle name="40% - Accent6 7 2 4 4" xfId="6250" xr:uid="{00000000-0005-0000-0000-0000F50B0000}"/>
    <cellStyle name="40% - Accent6 7 2 4 5" xfId="6251" xr:uid="{00000000-0005-0000-0000-0000F60B0000}"/>
    <cellStyle name="40% - Accent6 7 2 4 6" xfId="6252" xr:uid="{00000000-0005-0000-0000-0000F70B0000}"/>
    <cellStyle name="40% - Accent6 7 2 4 7" xfId="6253" xr:uid="{00000000-0005-0000-0000-0000F80B0000}"/>
    <cellStyle name="40% - Accent6 7 2 4 8" xfId="6254" xr:uid="{00000000-0005-0000-0000-0000F90B0000}"/>
    <cellStyle name="40% - Accent6 7 2 5" xfId="6255" xr:uid="{00000000-0005-0000-0000-0000FA0B0000}"/>
    <cellStyle name="40% - Accent6 7 2 5 2" xfId="6256" xr:uid="{00000000-0005-0000-0000-0000FB0B0000}"/>
    <cellStyle name="40% - Accent6 7 2 5 2 2" xfId="6257" xr:uid="{00000000-0005-0000-0000-0000FC0B0000}"/>
    <cellStyle name="40% - Accent6 7 2 5 3" xfId="6258" xr:uid="{00000000-0005-0000-0000-0000FD0B0000}"/>
    <cellStyle name="40% - Accent6 7 2 5 4" xfId="6259" xr:uid="{00000000-0005-0000-0000-0000FE0B0000}"/>
    <cellStyle name="40% - Accent6 7 2 6" xfId="6260" xr:uid="{00000000-0005-0000-0000-0000FF0B0000}"/>
    <cellStyle name="40% - Accent6 7 2 6 2" xfId="6261" xr:uid="{00000000-0005-0000-0000-0000000C0000}"/>
    <cellStyle name="40% - Accent6 7 2 7" xfId="6262" xr:uid="{00000000-0005-0000-0000-0000010C0000}"/>
    <cellStyle name="40% - Accent6 7 2 7 2" xfId="6263" xr:uid="{00000000-0005-0000-0000-0000020C0000}"/>
    <cellStyle name="40% - Accent6 7 2 8" xfId="6264" xr:uid="{00000000-0005-0000-0000-0000030C0000}"/>
    <cellStyle name="40% - Accent6 7 2 8 2" xfId="6265" xr:uid="{00000000-0005-0000-0000-0000040C0000}"/>
    <cellStyle name="40% - Accent6 7 2 9" xfId="6266" xr:uid="{00000000-0005-0000-0000-0000050C0000}"/>
    <cellStyle name="40% - Accent6 7 3" xfId="6267" xr:uid="{00000000-0005-0000-0000-0000060C0000}"/>
    <cellStyle name="40% - Accent6 7 3 10" xfId="6268" xr:uid="{00000000-0005-0000-0000-0000070C0000}"/>
    <cellStyle name="40% - Accent6 7 3 11" xfId="6269" xr:uid="{00000000-0005-0000-0000-0000080C0000}"/>
    <cellStyle name="40% - Accent6 7 3 12" xfId="6270" xr:uid="{00000000-0005-0000-0000-0000090C0000}"/>
    <cellStyle name="40% - Accent6 7 3 2" xfId="6271" xr:uid="{00000000-0005-0000-0000-00000A0C0000}"/>
    <cellStyle name="40% - Accent6 7 3 2 10" xfId="6272" xr:uid="{00000000-0005-0000-0000-00000B0C0000}"/>
    <cellStyle name="40% - Accent6 7 3 2 11" xfId="6273" xr:uid="{00000000-0005-0000-0000-00000C0C0000}"/>
    <cellStyle name="40% - Accent6 7 3 2 2" xfId="6274" xr:uid="{00000000-0005-0000-0000-00000D0C0000}"/>
    <cellStyle name="40% - Accent6 7 3 2 2 2" xfId="6275" xr:uid="{00000000-0005-0000-0000-00000E0C0000}"/>
    <cellStyle name="40% - Accent6 7 3 2 2 2 2" xfId="6276" xr:uid="{00000000-0005-0000-0000-00000F0C0000}"/>
    <cellStyle name="40% - Accent6 7 3 2 2 2 3" xfId="6277" xr:uid="{00000000-0005-0000-0000-0000100C0000}"/>
    <cellStyle name="40% - Accent6 7 3 2 2 3" xfId="6278" xr:uid="{00000000-0005-0000-0000-0000110C0000}"/>
    <cellStyle name="40% - Accent6 7 3 2 2 3 2" xfId="6279" xr:uid="{00000000-0005-0000-0000-0000120C0000}"/>
    <cellStyle name="40% - Accent6 7 3 2 2 4" xfId="6280" xr:uid="{00000000-0005-0000-0000-0000130C0000}"/>
    <cellStyle name="40% - Accent6 7 3 2 2 5" xfId="6281" xr:uid="{00000000-0005-0000-0000-0000140C0000}"/>
    <cellStyle name="40% - Accent6 7 3 2 2 6" xfId="6282" xr:uid="{00000000-0005-0000-0000-0000150C0000}"/>
    <cellStyle name="40% - Accent6 7 3 2 2 7" xfId="6283" xr:uid="{00000000-0005-0000-0000-0000160C0000}"/>
    <cellStyle name="40% - Accent6 7 3 2 2 8" xfId="6284" xr:uid="{00000000-0005-0000-0000-0000170C0000}"/>
    <cellStyle name="40% - Accent6 7 3 2 3" xfId="6285" xr:uid="{00000000-0005-0000-0000-0000180C0000}"/>
    <cellStyle name="40% - Accent6 7 3 2 3 2" xfId="6286" xr:uid="{00000000-0005-0000-0000-0000190C0000}"/>
    <cellStyle name="40% - Accent6 7 3 2 3 2 2" xfId="6287" xr:uid="{00000000-0005-0000-0000-00001A0C0000}"/>
    <cellStyle name="40% - Accent6 7 3 2 3 3" xfId="6288" xr:uid="{00000000-0005-0000-0000-00001B0C0000}"/>
    <cellStyle name="40% - Accent6 7 3 2 3 4" xfId="6289" xr:uid="{00000000-0005-0000-0000-00001C0C0000}"/>
    <cellStyle name="40% - Accent6 7 3 2 4" xfId="6290" xr:uid="{00000000-0005-0000-0000-00001D0C0000}"/>
    <cellStyle name="40% - Accent6 7 3 2 4 2" xfId="6291" xr:uid="{00000000-0005-0000-0000-00001E0C0000}"/>
    <cellStyle name="40% - Accent6 7 3 2 5" xfId="6292" xr:uid="{00000000-0005-0000-0000-00001F0C0000}"/>
    <cellStyle name="40% - Accent6 7 3 2 5 2" xfId="6293" xr:uid="{00000000-0005-0000-0000-0000200C0000}"/>
    <cellStyle name="40% - Accent6 7 3 2 6" xfId="6294" xr:uid="{00000000-0005-0000-0000-0000210C0000}"/>
    <cellStyle name="40% - Accent6 7 3 2 6 2" xfId="6295" xr:uid="{00000000-0005-0000-0000-0000220C0000}"/>
    <cellStyle name="40% - Accent6 7 3 2 7" xfId="6296" xr:uid="{00000000-0005-0000-0000-0000230C0000}"/>
    <cellStyle name="40% - Accent6 7 3 2 8" xfId="6297" xr:uid="{00000000-0005-0000-0000-0000240C0000}"/>
    <cellStyle name="40% - Accent6 7 3 2 9" xfId="6298" xr:uid="{00000000-0005-0000-0000-0000250C0000}"/>
    <cellStyle name="40% - Accent6 7 3 3" xfId="6299" xr:uid="{00000000-0005-0000-0000-0000260C0000}"/>
    <cellStyle name="40% - Accent6 7 3 3 2" xfId="6300" xr:uid="{00000000-0005-0000-0000-0000270C0000}"/>
    <cellStyle name="40% - Accent6 7 3 3 2 2" xfId="6301" xr:uid="{00000000-0005-0000-0000-0000280C0000}"/>
    <cellStyle name="40% - Accent6 7 3 3 2 3" xfId="6302" xr:uid="{00000000-0005-0000-0000-0000290C0000}"/>
    <cellStyle name="40% - Accent6 7 3 3 3" xfId="6303" xr:uid="{00000000-0005-0000-0000-00002A0C0000}"/>
    <cellStyle name="40% - Accent6 7 3 3 3 2" xfId="6304" xr:uid="{00000000-0005-0000-0000-00002B0C0000}"/>
    <cellStyle name="40% - Accent6 7 3 3 4" xfId="6305" xr:uid="{00000000-0005-0000-0000-00002C0C0000}"/>
    <cellStyle name="40% - Accent6 7 3 3 5" xfId="6306" xr:uid="{00000000-0005-0000-0000-00002D0C0000}"/>
    <cellStyle name="40% - Accent6 7 3 3 6" xfId="6307" xr:uid="{00000000-0005-0000-0000-00002E0C0000}"/>
    <cellStyle name="40% - Accent6 7 3 3 7" xfId="6308" xr:uid="{00000000-0005-0000-0000-00002F0C0000}"/>
    <cellStyle name="40% - Accent6 7 3 3 8" xfId="6309" xr:uid="{00000000-0005-0000-0000-0000300C0000}"/>
    <cellStyle name="40% - Accent6 7 3 4" xfId="6310" xr:uid="{00000000-0005-0000-0000-0000310C0000}"/>
    <cellStyle name="40% - Accent6 7 3 4 2" xfId="6311" xr:uid="{00000000-0005-0000-0000-0000320C0000}"/>
    <cellStyle name="40% - Accent6 7 3 4 2 2" xfId="6312" xr:uid="{00000000-0005-0000-0000-0000330C0000}"/>
    <cellStyle name="40% - Accent6 7 3 4 3" xfId="6313" xr:uid="{00000000-0005-0000-0000-0000340C0000}"/>
    <cellStyle name="40% - Accent6 7 3 4 4" xfId="6314" xr:uid="{00000000-0005-0000-0000-0000350C0000}"/>
    <cellStyle name="40% - Accent6 7 3 5" xfId="6315" xr:uid="{00000000-0005-0000-0000-0000360C0000}"/>
    <cellStyle name="40% - Accent6 7 3 5 2" xfId="6316" xr:uid="{00000000-0005-0000-0000-0000370C0000}"/>
    <cellStyle name="40% - Accent6 7 3 6" xfId="6317" xr:uid="{00000000-0005-0000-0000-0000380C0000}"/>
    <cellStyle name="40% - Accent6 7 3 6 2" xfId="6318" xr:uid="{00000000-0005-0000-0000-0000390C0000}"/>
    <cellStyle name="40% - Accent6 7 3 7" xfId="6319" xr:uid="{00000000-0005-0000-0000-00003A0C0000}"/>
    <cellStyle name="40% - Accent6 7 3 7 2" xfId="6320" xr:uid="{00000000-0005-0000-0000-00003B0C0000}"/>
    <cellStyle name="40% - Accent6 7 3 8" xfId="6321" xr:uid="{00000000-0005-0000-0000-00003C0C0000}"/>
    <cellStyle name="40% - Accent6 7 3 9" xfId="6322" xr:uid="{00000000-0005-0000-0000-00003D0C0000}"/>
    <cellStyle name="40% - Accent6 7 4" xfId="6323" xr:uid="{00000000-0005-0000-0000-00003E0C0000}"/>
    <cellStyle name="40% - Accent6 7 4 10" xfId="6324" xr:uid="{00000000-0005-0000-0000-00003F0C0000}"/>
    <cellStyle name="40% - Accent6 7 4 11" xfId="6325" xr:uid="{00000000-0005-0000-0000-0000400C0000}"/>
    <cellStyle name="40% - Accent6 7 4 2" xfId="6326" xr:uid="{00000000-0005-0000-0000-0000410C0000}"/>
    <cellStyle name="40% - Accent6 7 4 2 2" xfId="6327" xr:uid="{00000000-0005-0000-0000-0000420C0000}"/>
    <cellStyle name="40% - Accent6 7 4 2 2 2" xfId="6328" xr:uid="{00000000-0005-0000-0000-0000430C0000}"/>
    <cellStyle name="40% - Accent6 7 4 2 2 3" xfId="6329" xr:uid="{00000000-0005-0000-0000-0000440C0000}"/>
    <cellStyle name="40% - Accent6 7 4 2 3" xfId="6330" xr:uid="{00000000-0005-0000-0000-0000450C0000}"/>
    <cellStyle name="40% - Accent6 7 4 2 3 2" xfId="6331" xr:uid="{00000000-0005-0000-0000-0000460C0000}"/>
    <cellStyle name="40% - Accent6 7 4 2 4" xfId="6332" xr:uid="{00000000-0005-0000-0000-0000470C0000}"/>
    <cellStyle name="40% - Accent6 7 4 2 5" xfId="6333" xr:uid="{00000000-0005-0000-0000-0000480C0000}"/>
    <cellStyle name="40% - Accent6 7 4 2 6" xfId="6334" xr:uid="{00000000-0005-0000-0000-0000490C0000}"/>
    <cellStyle name="40% - Accent6 7 4 2 7" xfId="6335" xr:uid="{00000000-0005-0000-0000-00004A0C0000}"/>
    <cellStyle name="40% - Accent6 7 4 2 8" xfId="6336" xr:uid="{00000000-0005-0000-0000-00004B0C0000}"/>
    <cellStyle name="40% - Accent6 7 4 3" xfId="6337" xr:uid="{00000000-0005-0000-0000-00004C0C0000}"/>
    <cellStyle name="40% - Accent6 7 4 3 2" xfId="6338" xr:uid="{00000000-0005-0000-0000-00004D0C0000}"/>
    <cellStyle name="40% - Accent6 7 4 3 2 2" xfId="6339" xr:uid="{00000000-0005-0000-0000-00004E0C0000}"/>
    <cellStyle name="40% - Accent6 7 4 3 3" xfId="6340" xr:uid="{00000000-0005-0000-0000-00004F0C0000}"/>
    <cellStyle name="40% - Accent6 7 4 3 4" xfId="6341" xr:uid="{00000000-0005-0000-0000-0000500C0000}"/>
    <cellStyle name="40% - Accent6 7 4 4" xfId="6342" xr:uid="{00000000-0005-0000-0000-0000510C0000}"/>
    <cellStyle name="40% - Accent6 7 4 4 2" xfId="6343" xr:uid="{00000000-0005-0000-0000-0000520C0000}"/>
    <cellStyle name="40% - Accent6 7 4 5" xfId="6344" xr:uid="{00000000-0005-0000-0000-0000530C0000}"/>
    <cellStyle name="40% - Accent6 7 4 5 2" xfId="6345" xr:uid="{00000000-0005-0000-0000-0000540C0000}"/>
    <cellStyle name="40% - Accent6 7 4 6" xfId="6346" xr:uid="{00000000-0005-0000-0000-0000550C0000}"/>
    <cellStyle name="40% - Accent6 7 4 6 2" xfId="6347" xr:uid="{00000000-0005-0000-0000-0000560C0000}"/>
    <cellStyle name="40% - Accent6 7 4 7" xfId="6348" xr:uid="{00000000-0005-0000-0000-0000570C0000}"/>
    <cellStyle name="40% - Accent6 7 4 8" xfId="6349" xr:uid="{00000000-0005-0000-0000-0000580C0000}"/>
    <cellStyle name="40% - Accent6 7 4 9" xfId="6350" xr:uid="{00000000-0005-0000-0000-0000590C0000}"/>
    <cellStyle name="40% - Accent6 7 5" xfId="6351" xr:uid="{00000000-0005-0000-0000-00005A0C0000}"/>
    <cellStyle name="40% - Accent6 7 5 2" xfId="6352" xr:uid="{00000000-0005-0000-0000-00005B0C0000}"/>
    <cellStyle name="40% - Accent6 7 5 2 2" xfId="6353" xr:uid="{00000000-0005-0000-0000-00005C0C0000}"/>
    <cellStyle name="40% - Accent6 7 5 2 3" xfId="6354" xr:uid="{00000000-0005-0000-0000-00005D0C0000}"/>
    <cellStyle name="40% - Accent6 7 5 3" xfId="6355" xr:uid="{00000000-0005-0000-0000-00005E0C0000}"/>
    <cellStyle name="40% - Accent6 7 5 3 2" xfId="6356" xr:uid="{00000000-0005-0000-0000-00005F0C0000}"/>
    <cellStyle name="40% - Accent6 7 5 4" xfId="6357" xr:uid="{00000000-0005-0000-0000-0000600C0000}"/>
    <cellStyle name="40% - Accent6 7 5 5" xfId="6358" xr:uid="{00000000-0005-0000-0000-0000610C0000}"/>
    <cellStyle name="40% - Accent6 7 5 6" xfId="6359" xr:uid="{00000000-0005-0000-0000-0000620C0000}"/>
    <cellStyle name="40% - Accent6 7 5 7" xfId="6360" xr:uid="{00000000-0005-0000-0000-0000630C0000}"/>
    <cellStyle name="40% - Accent6 7 5 8" xfId="6361" xr:uid="{00000000-0005-0000-0000-0000640C0000}"/>
    <cellStyle name="40% - Accent6 7 6" xfId="6362" xr:uid="{00000000-0005-0000-0000-0000650C0000}"/>
    <cellStyle name="40% - Accent6 7 6 2" xfId="6363" xr:uid="{00000000-0005-0000-0000-0000660C0000}"/>
    <cellStyle name="40% - Accent6 7 6 2 2" xfId="6364" xr:uid="{00000000-0005-0000-0000-0000670C0000}"/>
    <cellStyle name="40% - Accent6 7 6 3" xfId="6365" xr:uid="{00000000-0005-0000-0000-0000680C0000}"/>
    <cellStyle name="40% - Accent6 7 6 4" xfId="6366" xr:uid="{00000000-0005-0000-0000-0000690C0000}"/>
    <cellStyle name="40% - Accent6 7 7" xfId="6367" xr:uid="{00000000-0005-0000-0000-00006A0C0000}"/>
    <cellStyle name="40% - Accent6 7 7 2" xfId="6368" xr:uid="{00000000-0005-0000-0000-00006B0C0000}"/>
    <cellStyle name="40% - Accent6 7 8" xfId="6369" xr:uid="{00000000-0005-0000-0000-00006C0C0000}"/>
    <cellStyle name="40% - Accent6 7 8 2" xfId="6370" xr:uid="{00000000-0005-0000-0000-00006D0C0000}"/>
    <cellStyle name="40% - Accent6 7 9" xfId="6371" xr:uid="{00000000-0005-0000-0000-00006E0C0000}"/>
    <cellStyle name="40% - Accent6 7 9 2" xfId="6372" xr:uid="{00000000-0005-0000-0000-00006F0C0000}"/>
    <cellStyle name="40% - Accent6 8" xfId="6373" xr:uid="{00000000-0005-0000-0000-0000700C0000}"/>
    <cellStyle name="40% - Accent6 9" xfId="6374" xr:uid="{00000000-0005-0000-0000-0000710C0000}"/>
    <cellStyle name="40% - Accent6 9 2" xfId="6375" xr:uid="{00000000-0005-0000-0000-0000720C0000}"/>
    <cellStyle name="40% - Accent6 9 3" xfId="6376" xr:uid="{00000000-0005-0000-0000-0000730C0000}"/>
    <cellStyle name="60% - Accent1 10" xfId="6377" xr:uid="{00000000-0005-0000-0000-0000740C0000}"/>
    <cellStyle name="60% - Accent1 11" xfId="6378" xr:uid="{00000000-0005-0000-0000-0000750C0000}"/>
    <cellStyle name="60% - Accent1 2" xfId="3015" xr:uid="{00000000-0005-0000-0000-0000760C0000}"/>
    <cellStyle name="60% - Accent1 2 2" xfId="6379" xr:uid="{00000000-0005-0000-0000-0000770C0000}"/>
    <cellStyle name="60% - Accent1 2 2 2" xfId="6380" xr:uid="{00000000-0005-0000-0000-0000780C0000}"/>
    <cellStyle name="60% - Accent1 2 3" xfId="6381" xr:uid="{00000000-0005-0000-0000-0000790C0000}"/>
    <cellStyle name="60% - Accent1 2 4" xfId="6382" xr:uid="{00000000-0005-0000-0000-00007A0C0000}"/>
    <cellStyle name="60% - Accent1 2 5" xfId="6383" xr:uid="{00000000-0005-0000-0000-00007B0C0000}"/>
    <cellStyle name="60% - Accent1 2 6" xfId="6384" xr:uid="{00000000-0005-0000-0000-00007C0C0000}"/>
    <cellStyle name="60% - Accent1 2 7" xfId="6385" xr:uid="{00000000-0005-0000-0000-00007D0C0000}"/>
    <cellStyle name="60% - Accent1 3" xfId="3016" xr:uid="{00000000-0005-0000-0000-00007E0C0000}"/>
    <cellStyle name="60% - Accent1 3 2" xfId="6386" xr:uid="{00000000-0005-0000-0000-00007F0C0000}"/>
    <cellStyle name="60% - Accent1 3 2 2" xfId="6387" xr:uid="{00000000-0005-0000-0000-0000800C0000}"/>
    <cellStyle name="60% - Accent1 3 3" xfId="6388" xr:uid="{00000000-0005-0000-0000-0000810C0000}"/>
    <cellStyle name="60% - Accent1 3 4" xfId="6389" xr:uid="{00000000-0005-0000-0000-0000820C0000}"/>
    <cellStyle name="60% - Accent1 4" xfId="3194" xr:uid="{00000000-0005-0000-0000-0000830C0000}"/>
    <cellStyle name="60% - Accent1 4 2" xfId="6390" xr:uid="{00000000-0005-0000-0000-0000840C0000}"/>
    <cellStyle name="60% - Accent1 5" xfId="6391" xr:uid="{00000000-0005-0000-0000-0000850C0000}"/>
    <cellStyle name="60% - Accent1 5 2" xfId="6392" xr:uid="{00000000-0005-0000-0000-0000860C0000}"/>
    <cellStyle name="60% - Accent1 6" xfId="6393" xr:uid="{00000000-0005-0000-0000-0000870C0000}"/>
    <cellStyle name="60% - Accent1 6 2" xfId="6394" xr:uid="{00000000-0005-0000-0000-0000880C0000}"/>
    <cellStyle name="60% - Accent1 7" xfId="6395" xr:uid="{00000000-0005-0000-0000-0000890C0000}"/>
    <cellStyle name="60% - Accent1 8" xfId="6396" xr:uid="{00000000-0005-0000-0000-00008A0C0000}"/>
    <cellStyle name="60% - Accent1 9" xfId="6397" xr:uid="{00000000-0005-0000-0000-00008B0C0000}"/>
    <cellStyle name="60% - Accent1 9 2" xfId="6398" xr:uid="{00000000-0005-0000-0000-00008C0C0000}"/>
    <cellStyle name="60% - Accent1 9 3" xfId="6399" xr:uid="{00000000-0005-0000-0000-00008D0C0000}"/>
    <cellStyle name="60% - Accent2 10" xfId="6400" xr:uid="{00000000-0005-0000-0000-00008E0C0000}"/>
    <cellStyle name="60% - Accent2 11" xfId="6401" xr:uid="{00000000-0005-0000-0000-00008F0C0000}"/>
    <cellStyle name="60% - Accent2 2" xfId="3017" xr:uid="{00000000-0005-0000-0000-0000900C0000}"/>
    <cellStyle name="60% - Accent2 2 2" xfId="6402" xr:uid="{00000000-0005-0000-0000-0000910C0000}"/>
    <cellStyle name="60% - Accent2 2 2 2" xfId="6403" xr:uid="{00000000-0005-0000-0000-0000920C0000}"/>
    <cellStyle name="60% - Accent2 2 3" xfId="6404" xr:uid="{00000000-0005-0000-0000-0000930C0000}"/>
    <cellStyle name="60% - Accent2 2 4" xfId="6405" xr:uid="{00000000-0005-0000-0000-0000940C0000}"/>
    <cellStyle name="60% - Accent2 2 5" xfId="6406" xr:uid="{00000000-0005-0000-0000-0000950C0000}"/>
    <cellStyle name="60% - Accent2 2 6" xfId="6407" xr:uid="{00000000-0005-0000-0000-0000960C0000}"/>
    <cellStyle name="60% - Accent2 3" xfId="3018" xr:uid="{00000000-0005-0000-0000-0000970C0000}"/>
    <cellStyle name="60% - Accent2 3 2" xfId="6408" xr:uid="{00000000-0005-0000-0000-0000980C0000}"/>
    <cellStyle name="60% - Accent2 3 2 2" xfId="6409" xr:uid="{00000000-0005-0000-0000-0000990C0000}"/>
    <cellStyle name="60% - Accent2 3 3" xfId="6410" xr:uid="{00000000-0005-0000-0000-00009A0C0000}"/>
    <cellStyle name="60% - Accent2 3 4" xfId="6411" xr:uid="{00000000-0005-0000-0000-00009B0C0000}"/>
    <cellStyle name="60% - Accent2 4" xfId="3195" xr:uid="{00000000-0005-0000-0000-00009C0C0000}"/>
    <cellStyle name="60% - Accent2 4 2" xfId="6412" xr:uid="{00000000-0005-0000-0000-00009D0C0000}"/>
    <cellStyle name="60% - Accent2 5" xfId="6413" xr:uid="{00000000-0005-0000-0000-00009E0C0000}"/>
    <cellStyle name="60% - Accent2 5 2" xfId="6414" xr:uid="{00000000-0005-0000-0000-00009F0C0000}"/>
    <cellStyle name="60% - Accent2 6" xfId="6415" xr:uid="{00000000-0005-0000-0000-0000A00C0000}"/>
    <cellStyle name="60% - Accent2 6 2" xfId="6416" xr:uid="{00000000-0005-0000-0000-0000A10C0000}"/>
    <cellStyle name="60% - Accent2 7" xfId="6417" xr:uid="{00000000-0005-0000-0000-0000A20C0000}"/>
    <cellStyle name="60% - Accent2 8" xfId="6418" xr:uid="{00000000-0005-0000-0000-0000A30C0000}"/>
    <cellStyle name="60% - Accent2 9" xfId="6419" xr:uid="{00000000-0005-0000-0000-0000A40C0000}"/>
    <cellStyle name="60% - Accent2 9 2" xfId="6420" xr:uid="{00000000-0005-0000-0000-0000A50C0000}"/>
    <cellStyle name="60% - Accent2 9 3" xfId="6421" xr:uid="{00000000-0005-0000-0000-0000A60C0000}"/>
    <cellStyle name="60% - Accent3 10" xfId="6422" xr:uid="{00000000-0005-0000-0000-0000A70C0000}"/>
    <cellStyle name="60% - Accent3 11" xfId="6423" xr:uid="{00000000-0005-0000-0000-0000A80C0000}"/>
    <cellStyle name="60% - Accent3 2" xfId="3019" xr:uid="{00000000-0005-0000-0000-0000A90C0000}"/>
    <cellStyle name="60% - Accent3 2 2" xfId="6424" xr:uid="{00000000-0005-0000-0000-0000AA0C0000}"/>
    <cellStyle name="60% - Accent3 2 2 2" xfId="6425" xr:uid="{00000000-0005-0000-0000-0000AB0C0000}"/>
    <cellStyle name="60% - Accent3 2 3" xfId="6426" xr:uid="{00000000-0005-0000-0000-0000AC0C0000}"/>
    <cellStyle name="60% - Accent3 2 4" xfId="6427" xr:uid="{00000000-0005-0000-0000-0000AD0C0000}"/>
    <cellStyle name="60% - Accent3 2 5" xfId="6428" xr:uid="{00000000-0005-0000-0000-0000AE0C0000}"/>
    <cellStyle name="60% - Accent3 2 6" xfId="6429" xr:uid="{00000000-0005-0000-0000-0000AF0C0000}"/>
    <cellStyle name="60% - Accent3 2 7" xfId="6430" xr:uid="{00000000-0005-0000-0000-0000B00C0000}"/>
    <cellStyle name="60% - Accent3 3" xfId="3020" xr:uid="{00000000-0005-0000-0000-0000B10C0000}"/>
    <cellStyle name="60% - Accent3 3 2" xfId="6431" xr:uid="{00000000-0005-0000-0000-0000B20C0000}"/>
    <cellStyle name="60% - Accent3 3 2 2" xfId="6432" xr:uid="{00000000-0005-0000-0000-0000B30C0000}"/>
    <cellStyle name="60% - Accent3 3 3" xfId="6433" xr:uid="{00000000-0005-0000-0000-0000B40C0000}"/>
    <cellStyle name="60% - Accent3 3 4" xfId="6434" xr:uid="{00000000-0005-0000-0000-0000B50C0000}"/>
    <cellStyle name="60% - Accent3 4" xfId="3196" xr:uid="{00000000-0005-0000-0000-0000B60C0000}"/>
    <cellStyle name="60% - Accent3 4 2" xfId="6435" xr:uid="{00000000-0005-0000-0000-0000B70C0000}"/>
    <cellStyle name="60% - Accent3 5" xfId="6436" xr:uid="{00000000-0005-0000-0000-0000B80C0000}"/>
    <cellStyle name="60% - Accent3 5 2" xfId="6437" xr:uid="{00000000-0005-0000-0000-0000B90C0000}"/>
    <cellStyle name="60% - Accent3 6" xfId="6438" xr:uid="{00000000-0005-0000-0000-0000BA0C0000}"/>
    <cellStyle name="60% - Accent3 6 2" xfId="6439" xr:uid="{00000000-0005-0000-0000-0000BB0C0000}"/>
    <cellStyle name="60% - Accent3 7" xfId="6440" xr:uid="{00000000-0005-0000-0000-0000BC0C0000}"/>
    <cellStyle name="60% - Accent3 8" xfId="6441" xr:uid="{00000000-0005-0000-0000-0000BD0C0000}"/>
    <cellStyle name="60% - Accent3 9" xfId="6442" xr:uid="{00000000-0005-0000-0000-0000BE0C0000}"/>
    <cellStyle name="60% - Accent3 9 2" xfId="6443" xr:uid="{00000000-0005-0000-0000-0000BF0C0000}"/>
    <cellStyle name="60% - Accent3 9 3" xfId="6444" xr:uid="{00000000-0005-0000-0000-0000C00C0000}"/>
    <cellStyle name="60% - Accent4 10" xfId="6445" xr:uid="{00000000-0005-0000-0000-0000C10C0000}"/>
    <cellStyle name="60% - Accent4 11" xfId="6446" xr:uid="{00000000-0005-0000-0000-0000C20C0000}"/>
    <cellStyle name="60% - Accent4 2" xfId="3021" xr:uid="{00000000-0005-0000-0000-0000C30C0000}"/>
    <cellStyle name="60% - Accent4 2 2" xfId="6447" xr:uid="{00000000-0005-0000-0000-0000C40C0000}"/>
    <cellStyle name="60% - Accent4 2 2 2" xfId="6448" xr:uid="{00000000-0005-0000-0000-0000C50C0000}"/>
    <cellStyle name="60% - Accent4 2 3" xfId="6449" xr:uid="{00000000-0005-0000-0000-0000C60C0000}"/>
    <cellStyle name="60% - Accent4 2 4" xfId="6450" xr:uid="{00000000-0005-0000-0000-0000C70C0000}"/>
    <cellStyle name="60% - Accent4 2 5" xfId="6451" xr:uid="{00000000-0005-0000-0000-0000C80C0000}"/>
    <cellStyle name="60% - Accent4 2 6" xfId="6452" xr:uid="{00000000-0005-0000-0000-0000C90C0000}"/>
    <cellStyle name="60% - Accent4 2 7" xfId="6453" xr:uid="{00000000-0005-0000-0000-0000CA0C0000}"/>
    <cellStyle name="60% - Accent4 3" xfId="3022" xr:uid="{00000000-0005-0000-0000-0000CB0C0000}"/>
    <cellStyle name="60% - Accent4 3 2" xfId="6454" xr:uid="{00000000-0005-0000-0000-0000CC0C0000}"/>
    <cellStyle name="60% - Accent4 3 2 2" xfId="6455" xr:uid="{00000000-0005-0000-0000-0000CD0C0000}"/>
    <cellStyle name="60% - Accent4 3 3" xfId="6456" xr:uid="{00000000-0005-0000-0000-0000CE0C0000}"/>
    <cellStyle name="60% - Accent4 3 4" xfId="6457" xr:uid="{00000000-0005-0000-0000-0000CF0C0000}"/>
    <cellStyle name="60% - Accent4 4" xfId="3197" xr:uid="{00000000-0005-0000-0000-0000D00C0000}"/>
    <cellStyle name="60% - Accent4 4 2" xfId="6458" xr:uid="{00000000-0005-0000-0000-0000D10C0000}"/>
    <cellStyle name="60% - Accent4 5" xfId="6459" xr:uid="{00000000-0005-0000-0000-0000D20C0000}"/>
    <cellStyle name="60% - Accent4 5 2" xfId="6460" xr:uid="{00000000-0005-0000-0000-0000D30C0000}"/>
    <cellStyle name="60% - Accent4 6" xfId="6461" xr:uid="{00000000-0005-0000-0000-0000D40C0000}"/>
    <cellStyle name="60% - Accent4 6 2" xfId="6462" xr:uid="{00000000-0005-0000-0000-0000D50C0000}"/>
    <cellStyle name="60% - Accent4 7" xfId="6463" xr:uid="{00000000-0005-0000-0000-0000D60C0000}"/>
    <cellStyle name="60% - Accent4 8" xfId="6464" xr:uid="{00000000-0005-0000-0000-0000D70C0000}"/>
    <cellStyle name="60% - Accent4 9" xfId="6465" xr:uid="{00000000-0005-0000-0000-0000D80C0000}"/>
    <cellStyle name="60% - Accent4 9 2" xfId="6466" xr:uid="{00000000-0005-0000-0000-0000D90C0000}"/>
    <cellStyle name="60% - Accent4 9 3" xfId="6467" xr:uid="{00000000-0005-0000-0000-0000DA0C0000}"/>
    <cellStyle name="60% - Accent5 10" xfId="6468" xr:uid="{00000000-0005-0000-0000-0000DB0C0000}"/>
    <cellStyle name="60% - Accent5 11" xfId="6469" xr:uid="{00000000-0005-0000-0000-0000DC0C0000}"/>
    <cellStyle name="60% - Accent5 2" xfId="3023" xr:uid="{00000000-0005-0000-0000-0000DD0C0000}"/>
    <cellStyle name="60% - Accent5 2 2" xfId="6470" xr:uid="{00000000-0005-0000-0000-0000DE0C0000}"/>
    <cellStyle name="60% - Accent5 2 2 2" xfId="6471" xr:uid="{00000000-0005-0000-0000-0000DF0C0000}"/>
    <cellStyle name="60% - Accent5 2 3" xfId="6472" xr:uid="{00000000-0005-0000-0000-0000E00C0000}"/>
    <cellStyle name="60% - Accent5 2 4" xfId="6473" xr:uid="{00000000-0005-0000-0000-0000E10C0000}"/>
    <cellStyle name="60% - Accent5 2 5" xfId="6474" xr:uid="{00000000-0005-0000-0000-0000E20C0000}"/>
    <cellStyle name="60% - Accent5 2 6" xfId="6475" xr:uid="{00000000-0005-0000-0000-0000E30C0000}"/>
    <cellStyle name="60% - Accent5 3" xfId="3024" xr:uid="{00000000-0005-0000-0000-0000E40C0000}"/>
    <cellStyle name="60% - Accent5 3 2" xfId="6476" xr:uid="{00000000-0005-0000-0000-0000E50C0000}"/>
    <cellStyle name="60% - Accent5 3 2 2" xfId="6477" xr:uid="{00000000-0005-0000-0000-0000E60C0000}"/>
    <cellStyle name="60% - Accent5 3 3" xfId="6478" xr:uid="{00000000-0005-0000-0000-0000E70C0000}"/>
    <cellStyle name="60% - Accent5 3 4" xfId="6479" xr:uid="{00000000-0005-0000-0000-0000E80C0000}"/>
    <cellStyle name="60% - Accent5 4" xfId="3198" xr:uid="{00000000-0005-0000-0000-0000E90C0000}"/>
    <cellStyle name="60% - Accent5 4 2" xfId="6480" xr:uid="{00000000-0005-0000-0000-0000EA0C0000}"/>
    <cellStyle name="60% - Accent5 5" xfId="6481" xr:uid="{00000000-0005-0000-0000-0000EB0C0000}"/>
    <cellStyle name="60% - Accent5 5 2" xfId="6482" xr:uid="{00000000-0005-0000-0000-0000EC0C0000}"/>
    <cellStyle name="60% - Accent5 6" xfId="6483" xr:uid="{00000000-0005-0000-0000-0000ED0C0000}"/>
    <cellStyle name="60% - Accent5 6 2" xfId="6484" xr:uid="{00000000-0005-0000-0000-0000EE0C0000}"/>
    <cellStyle name="60% - Accent5 7" xfId="6485" xr:uid="{00000000-0005-0000-0000-0000EF0C0000}"/>
    <cellStyle name="60% - Accent5 8" xfId="6486" xr:uid="{00000000-0005-0000-0000-0000F00C0000}"/>
    <cellStyle name="60% - Accent5 9" xfId="6487" xr:uid="{00000000-0005-0000-0000-0000F10C0000}"/>
    <cellStyle name="60% - Accent5 9 2" xfId="6488" xr:uid="{00000000-0005-0000-0000-0000F20C0000}"/>
    <cellStyle name="60% - Accent5 9 3" xfId="6489" xr:uid="{00000000-0005-0000-0000-0000F30C0000}"/>
    <cellStyle name="60% - Accent6 10" xfId="6490" xr:uid="{00000000-0005-0000-0000-0000F40C0000}"/>
    <cellStyle name="60% - Accent6 11" xfId="6491" xr:uid="{00000000-0005-0000-0000-0000F50C0000}"/>
    <cellStyle name="60% - Accent6 2" xfId="3025" xr:uid="{00000000-0005-0000-0000-0000F60C0000}"/>
    <cellStyle name="60% - Accent6 2 2" xfId="6492" xr:uid="{00000000-0005-0000-0000-0000F70C0000}"/>
    <cellStyle name="60% - Accent6 2 2 2" xfId="6493" xr:uid="{00000000-0005-0000-0000-0000F80C0000}"/>
    <cellStyle name="60% - Accent6 2 3" xfId="6494" xr:uid="{00000000-0005-0000-0000-0000F90C0000}"/>
    <cellStyle name="60% - Accent6 2 4" xfId="6495" xr:uid="{00000000-0005-0000-0000-0000FA0C0000}"/>
    <cellStyle name="60% - Accent6 2 5" xfId="6496" xr:uid="{00000000-0005-0000-0000-0000FB0C0000}"/>
    <cellStyle name="60% - Accent6 2 6" xfId="6497" xr:uid="{00000000-0005-0000-0000-0000FC0C0000}"/>
    <cellStyle name="60% - Accent6 2 7" xfId="6498" xr:uid="{00000000-0005-0000-0000-0000FD0C0000}"/>
    <cellStyle name="60% - Accent6 3" xfId="3026" xr:uid="{00000000-0005-0000-0000-0000FE0C0000}"/>
    <cellStyle name="60% - Accent6 3 2" xfId="6499" xr:uid="{00000000-0005-0000-0000-0000FF0C0000}"/>
    <cellStyle name="60% - Accent6 3 2 2" xfId="6500" xr:uid="{00000000-0005-0000-0000-0000000D0000}"/>
    <cellStyle name="60% - Accent6 3 3" xfId="6501" xr:uid="{00000000-0005-0000-0000-0000010D0000}"/>
    <cellStyle name="60% - Accent6 3 4" xfId="6502" xr:uid="{00000000-0005-0000-0000-0000020D0000}"/>
    <cellStyle name="60% - Accent6 4" xfId="3199" xr:uid="{00000000-0005-0000-0000-0000030D0000}"/>
    <cellStyle name="60% - Accent6 4 2" xfId="6503" xr:uid="{00000000-0005-0000-0000-0000040D0000}"/>
    <cellStyle name="60% - Accent6 5" xfId="6504" xr:uid="{00000000-0005-0000-0000-0000050D0000}"/>
    <cellStyle name="60% - Accent6 5 2" xfId="6505" xr:uid="{00000000-0005-0000-0000-0000060D0000}"/>
    <cellStyle name="60% - Accent6 6" xfId="6506" xr:uid="{00000000-0005-0000-0000-0000070D0000}"/>
    <cellStyle name="60% - Accent6 6 2" xfId="6507" xr:uid="{00000000-0005-0000-0000-0000080D0000}"/>
    <cellStyle name="60% - Accent6 7" xfId="6508" xr:uid="{00000000-0005-0000-0000-0000090D0000}"/>
    <cellStyle name="60% - Accent6 8" xfId="6509" xr:uid="{00000000-0005-0000-0000-00000A0D0000}"/>
    <cellStyle name="60% - Accent6 9" xfId="6510" xr:uid="{00000000-0005-0000-0000-00000B0D0000}"/>
    <cellStyle name="60% - Accent6 9 2" xfId="6511" xr:uid="{00000000-0005-0000-0000-00000C0D0000}"/>
    <cellStyle name="60% - Accent6 9 3" xfId="6512" xr:uid="{00000000-0005-0000-0000-00000D0D0000}"/>
    <cellStyle name="Accent1 - 20%" xfId="6513" xr:uid="{00000000-0005-0000-0000-00000E0D0000}"/>
    <cellStyle name="Accent1 - 40%" xfId="6514" xr:uid="{00000000-0005-0000-0000-00000F0D0000}"/>
    <cellStyle name="Accent1 - 60%" xfId="6515" xr:uid="{00000000-0005-0000-0000-0000100D0000}"/>
    <cellStyle name="Accent1 10" xfId="6516" xr:uid="{00000000-0005-0000-0000-0000110D0000}"/>
    <cellStyle name="Accent1 11" xfId="6517" xr:uid="{00000000-0005-0000-0000-0000120D0000}"/>
    <cellStyle name="Accent1 2" xfId="3027" xr:uid="{00000000-0005-0000-0000-0000130D0000}"/>
    <cellStyle name="Accent1 2 2" xfId="6518" xr:uid="{00000000-0005-0000-0000-0000140D0000}"/>
    <cellStyle name="Accent1 2 2 2" xfId="6519" xr:uid="{00000000-0005-0000-0000-0000150D0000}"/>
    <cellStyle name="Accent1 2 3" xfId="6520" xr:uid="{00000000-0005-0000-0000-0000160D0000}"/>
    <cellStyle name="Accent1 2 4" xfId="6521" xr:uid="{00000000-0005-0000-0000-0000170D0000}"/>
    <cellStyle name="Accent1 2 5" xfId="6522" xr:uid="{00000000-0005-0000-0000-0000180D0000}"/>
    <cellStyle name="Accent1 2 6" xfId="6523" xr:uid="{00000000-0005-0000-0000-0000190D0000}"/>
    <cellStyle name="Accent1 2 7" xfId="6524" xr:uid="{00000000-0005-0000-0000-00001A0D0000}"/>
    <cellStyle name="Accent1 3" xfId="3028" xr:uid="{00000000-0005-0000-0000-00001B0D0000}"/>
    <cellStyle name="Accent1 3 2" xfId="6525" xr:uid="{00000000-0005-0000-0000-00001C0D0000}"/>
    <cellStyle name="Accent1 3 2 2" xfId="6526" xr:uid="{00000000-0005-0000-0000-00001D0D0000}"/>
    <cellStyle name="Accent1 3 3" xfId="6527" xr:uid="{00000000-0005-0000-0000-00001E0D0000}"/>
    <cellStyle name="Accent1 3 4" xfId="6528" xr:uid="{00000000-0005-0000-0000-00001F0D0000}"/>
    <cellStyle name="Accent1 4" xfId="3200" xr:uid="{00000000-0005-0000-0000-0000200D0000}"/>
    <cellStyle name="Accent1 4 2" xfId="6529" xr:uid="{00000000-0005-0000-0000-0000210D0000}"/>
    <cellStyle name="Accent1 5" xfId="6530" xr:uid="{00000000-0005-0000-0000-0000220D0000}"/>
    <cellStyle name="Accent1 5 2" xfId="6531" xr:uid="{00000000-0005-0000-0000-0000230D0000}"/>
    <cellStyle name="Accent1 6" xfId="6532" xr:uid="{00000000-0005-0000-0000-0000240D0000}"/>
    <cellStyle name="Accent1 6 2" xfId="6533" xr:uid="{00000000-0005-0000-0000-0000250D0000}"/>
    <cellStyle name="Accent1 7" xfId="6534" xr:uid="{00000000-0005-0000-0000-0000260D0000}"/>
    <cellStyle name="Accent1 8" xfId="6535" xr:uid="{00000000-0005-0000-0000-0000270D0000}"/>
    <cellStyle name="Accent1 9" xfId="6536" xr:uid="{00000000-0005-0000-0000-0000280D0000}"/>
    <cellStyle name="Accent1 9 2" xfId="6537" xr:uid="{00000000-0005-0000-0000-0000290D0000}"/>
    <cellStyle name="Accent1 9 3" xfId="6538" xr:uid="{00000000-0005-0000-0000-00002A0D0000}"/>
    <cellStyle name="Accent2 - 20%" xfId="6539" xr:uid="{00000000-0005-0000-0000-00002B0D0000}"/>
    <cellStyle name="Accent2 - 40%" xfId="6540" xr:uid="{00000000-0005-0000-0000-00002C0D0000}"/>
    <cellStyle name="Accent2 - 60%" xfId="6541" xr:uid="{00000000-0005-0000-0000-00002D0D0000}"/>
    <cellStyle name="Accent2 10" xfId="6542" xr:uid="{00000000-0005-0000-0000-00002E0D0000}"/>
    <cellStyle name="Accent2 11" xfId="6543" xr:uid="{00000000-0005-0000-0000-00002F0D0000}"/>
    <cellStyle name="Accent2 2" xfId="3029" xr:uid="{00000000-0005-0000-0000-0000300D0000}"/>
    <cellStyle name="Accent2 2 2" xfId="6544" xr:uid="{00000000-0005-0000-0000-0000310D0000}"/>
    <cellStyle name="Accent2 2 2 2" xfId="6545" xr:uid="{00000000-0005-0000-0000-0000320D0000}"/>
    <cellStyle name="Accent2 2 3" xfId="6546" xr:uid="{00000000-0005-0000-0000-0000330D0000}"/>
    <cellStyle name="Accent2 2 4" xfId="6547" xr:uid="{00000000-0005-0000-0000-0000340D0000}"/>
    <cellStyle name="Accent2 2 5" xfId="6548" xr:uid="{00000000-0005-0000-0000-0000350D0000}"/>
    <cellStyle name="Accent2 2 6" xfId="6549" xr:uid="{00000000-0005-0000-0000-0000360D0000}"/>
    <cellStyle name="Accent2 3" xfId="3030" xr:uid="{00000000-0005-0000-0000-0000370D0000}"/>
    <cellStyle name="Accent2 3 2" xfId="6550" xr:uid="{00000000-0005-0000-0000-0000380D0000}"/>
    <cellStyle name="Accent2 3 2 2" xfId="6551" xr:uid="{00000000-0005-0000-0000-0000390D0000}"/>
    <cellStyle name="Accent2 3 3" xfId="6552" xr:uid="{00000000-0005-0000-0000-00003A0D0000}"/>
    <cellStyle name="Accent2 3 4" xfId="6553" xr:uid="{00000000-0005-0000-0000-00003B0D0000}"/>
    <cellStyle name="Accent2 4" xfId="3201" xr:uid="{00000000-0005-0000-0000-00003C0D0000}"/>
    <cellStyle name="Accent2 4 2" xfId="6554" xr:uid="{00000000-0005-0000-0000-00003D0D0000}"/>
    <cellStyle name="Accent2 5" xfId="6555" xr:uid="{00000000-0005-0000-0000-00003E0D0000}"/>
    <cellStyle name="Accent2 5 2" xfId="6556" xr:uid="{00000000-0005-0000-0000-00003F0D0000}"/>
    <cellStyle name="Accent2 6" xfId="6557" xr:uid="{00000000-0005-0000-0000-0000400D0000}"/>
    <cellStyle name="Accent2 6 2" xfId="6558" xr:uid="{00000000-0005-0000-0000-0000410D0000}"/>
    <cellStyle name="Accent2 7" xfId="6559" xr:uid="{00000000-0005-0000-0000-0000420D0000}"/>
    <cellStyle name="Accent2 8" xfId="6560" xr:uid="{00000000-0005-0000-0000-0000430D0000}"/>
    <cellStyle name="Accent2 9" xfId="6561" xr:uid="{00000000-0005-0000-0000-0000440D0000}"/>
    <cellStyle name="Accent2 9 2" xfId="6562" xr:uid="{00000000-0005-0000-0000-0000450D0000}"/>
    <cellStyle name="Accent2 9 3" xfId="6563" xr:uid="{00000000-0005-0000-0000-0000460D0000}"/>
    <cellStyle name="Accent3 - 20%" xfId="6564" xr:uid="{00000000-0005-0000-0000-0000470D0000}"/>
    <cellStyle name="Accent3 - 40%" xfId="6565" xr:uid="{00000000-0005-0000-0000-0000480D0000}"/>
    <cellStyle name="Accent3 - 60%" xfId="6566" xr:uid="{00000000-0005-0000-0000-0000490D0000}"/>
    <cellStyle name="Accent3 10" xfId="6567" xr:uid="{00000000-0005-0000-0000-00004A0D0000}"/>
    <cellStyle name="Accent3 11" xfId="6568" xr:uid="{00000000-0005-0000-0000-00004B0D0000}"/>
    <cellStyle name="Accent3 2" xfId="3031" xr:uid="{00000000-0005-0000-0000-00004C0D0000}"/>
    <cellStyle name="Accent3 2 2" xfId="6569" xr:uid="{00000000-0005-0000-0000-00004D0D0000}"/>
    <cellStyle name="Accent3 2 2 2" xfId="6570" xr:uid="{00000000-0005-0000-0000-00004E0D0000}"/>
    <cellStyle name="Accent3 2 3" xfId="6571" xr:uid="{00000000-0005-0000-0000-00004F0D0000}"/>
    <cellStyle name="Accent3 2 4" xfId="6572" xr:uid="{00000000-0005-0000-0000-0000500D0000}"/>
    <cellStyle name="Accent3 2 5" xfId="6573" xr:uid="{00000000-0005-0000-0000-0000510D0000}"/>
    <cellStyle name="Accent3 2 6" xfId="6574" xr:uid="{00000000-0005-0000-0000-0000520D0000}"/>
    <cellStyle name="Accent3 3" xfId="3032" xr:uid="{00000000-0005-0000-0000-0000530D0000}"/>
    <cellStyle name="Accent3 3 2" xfId="6575" xr:uid="{00000000-0005-0000-0000-0000540D0000}"/>
    <cellStyle name="Accent3 3 2 2" xfId="6576" xr:uid="{00000000-0005-0000-0000-0000550D0000}"/>
    <cellStyle name="Accent3 3 3" xfId="6577" xr:uid="{00000000-0005-0000-0000-0000560D0000}"/>
    <cellStyle name="Accent3 3 4" xfId="6578" xr:uid="{00000000-0005-0000-0000-0000570D0000}"/>
    <cellStyle name="Accent3 4" xfId="3202" xr:uid="{00000000-0005-0000-0000-0000580D0000}"/>
    <cellStyle name="Accent3 4 2" xfId="6579" xr:uid="{00000000-0005-0000-0000-0000590D0000}"/>
    <cellStyle name="Accent3 5" xfId="6580" xr:uid="{00000000-0005-0000-0000-00005A0D0000}"/>
    <cellStyle name="Accent3 5 2" xfId="6581" xr:uid="{00000000-0005-0000-0000-00005B0D0000}"/>
    <cellStyle name="Accent3 6" xfId="6582" xr:uid="{00000000-0005-0000-0000-00005C0D0000}"/>
    <cellStyle name="Accent3 6 2" xfId="6583" xr:uid="{00000000-0005-0000-0000-00005D0D0000}"/>
    <cellStyle name="Accent3 7" xfId="6584" xr:uid="{00000000-0005-0000-0000-00005E0D0000}"/>
    <cellStyle name="Accent3 8" xfId="6585" xr:uid="{00000000-0005-0000-0000-00005F0D0000}"/>
    <cellStyle name="Accent3 9" xfId="6586" xr:uid="{00000000-0005-0000-0000-0000600D0000}"/>
    <cellStyle name="Accent3 9 2" xfId="6587" xr:uid="{00000000-0005-0000-0000-0000610D0000}"/>
    <cellStyle name="Accent3 9 3" xfId="6588" xr:uid="{00000000-0005-0000-0000-0000620D0000}"/>
    <cellStyle name="Accent4 - 20%" xfId="6589" xr:uid="{00000000-0005-0000-0000-0000630D0000}"/>
    <cellStyle name="Accent4 - 40%" xfId="6590" xr:uid="{00000000-0005-0000-0000-0000640D0000}"/>
    <cellStyle name="Accent4 - 60%" xfId="6591" xr:uid="{00000000-0005-0000-0000-0000650D0000}"/>
    <cellStyle name="Accent4 10" xfId="6592" xr:uid="{00000000-0005-0000-0000-0000660D0000}"/>
    <cellStyle name="Accent4 11" xfId="6593" xr:uid="{00000000-0005-0000-0000-0000670D0000}"/>
    <cellStyle name="Accent4 2" xfId="3033" xr:uid="{00000000-0005-0000-0000-0000680D0000}"/>
    <cellStyle name="Accent4 2 2" xfId="6594" xr:uid="{00000000-0005-0000-0000-0000690D0000}"/>
    <cellStyle name="Accent4 2 2 2" xfId="6595" xr:uid="{00000000-0005-0000-0000-00006A0D0000}"/>
    <cellStyle name="Accent4 2 3" xfId="6596" xr:uid="{00000000-0005-0000-0000-00006B0D0000}"/>
    <cellStyle name="Accent4 2 4" xfId="6597" xr:uid="{00000000-0005-0000-0000-00006C0D0000}"/>
    <cellStyle name="Accent4 2 5" xfId="6598" xr:uid="{00000000-0005-0000-0000-00006D0D0000}"/>
    <cellStyle name="Accent4 2 6" xfId="6599" xr:uid="{00000000-0005-0000-0000-00006E0D0000}"/>
    <cellStyle name="Accent4 2 7" xfId="6600" xr:uid="{00000000-0005-0000-0000-00006F0D0000}"/>
    <cellStyle name="Accent4 3" xfId="3034" xr:uid="{00000000-0005-0000-0000-0000700D0000}"/>
    <cellStyle name="Accent4 3 2" xfId="6601" xr:uid="{00000000-0005-0000-0000-0000710D0000}"/>
    <cellStyle name="Accent4 3 2 2" xfId="6602" xr:uid="{00000000-0005-0000-0000-0000720D0000}"/>
    <cellStyle name="Accent4 3 3" xfId="6603" xr:uid="{00000000-0005-0000-0000-0000730D0000}"/>
    <cellStyle name="Accent4 3 4" xfId="6604" xr:uid="{00000000-0005-0000-0000-0000740D0000}"/>
    <cellStyle name="Accent4 4" xfId="3203" xr:uid="{00000000-0005-0000-0000-0000750D0000}"/>
    <cellStyle name="Accent4 4 2" xfId="6605" xr:uid="{00000000-0005-0000-0000-0000760D0000}"/>
    <cellStyle name="Accent4 5" xfId="6606" xr:uid="{00000000-0005-0000-0000-0000770D0000}"/>
    <cellStyle name="Accent4 5 2" xfId="6607" xr:uid="{00000000-0005-0000-0000-0000780D0000}"/>
    <cellStyle name="Accent4 6" xfId="6608" xr:uid="{00000000-0005-0000-0000-0000790D0000}"/>
    <cellStyle name="Accent4 6 2" xfId="6609" xr:uid="{00000000-0005-0000-0000-00007A0D0000}"/>
    <cellStyle name="Accent4 7" xfId="6610" xr:uid="{00000000-0005-0000-0000-00007B0D0000}"/>
    <cellStyle name="Accent4 8" xfId="6611" xr:uid="{00000000-0005-0000-0000-00007C0D0000}"/>
    <cellStyle name="Accent4 9" xfId="6612" xr:uid="{00000000-0005-0000-0000-00007D0D0000}"/>
    <cellStyle name="Accent4 9 2" xfId="6613" xr:uid="{00000000-0005-0000-0000-00007E0D0000}"/>
    <cellStyle name="Accent4 9 3" xfId="6614" xr:uid="{00000000-0005-0000-0000-00007F0D0000}"/>
    <cellStyle name="Accent5 - 20%" xfId="6615" xr:uid="{00000000-0005-0000-0000-0000800D0000}"/>
    <cellStyle name="Accent5 - 40%" xfId="6616" xr:uid="{00000000-0005-0000-0000-0000810D0000}"/>
    <cellStyle name="Accent5 - 60%" xfId="6617" xr:uid="{00000000-0005-0000-0000-0000820D0000}"/>
    <cellStyle name="Accent5 10" xfId="6618" xr:uid="{00000000-0005-0000-0000-0000830D0000}"/>
    <cellStyle name="Accent5 11" xfId="6619" xr:uid="{00000000-0005-0000-0000-0000840D0000}"/>
    <cellStyle name="Accent5 2" xfId="3035" xr:uid="{00000000-0005-0000-0000-0000850D0000}"/>
    <cellStyle name="Accent5 2 2" xfId="6620" xr:uid="{00000000-0005-0000-0000-0000860D0000}"/>
    <cellStyle name="Accent5 2 2 2" xfId="6621" xr:uid="{00000000-0005-0000-0000-0000870D0000}"/>
    <cellStyle name="Accent5 2 3" xfId="6622" xr:uid="{00000000-0005-0000-0000-0000880D0000}"/>
    <cellStyle name="Accent5 2 4" xfId="6623" xr:uid="{00000000-0005-0000-0000-0000890D0000}"/>
    <cellStyle name="Accent5 2 5" xfId="6624" xr:uid="{00000000-0005-0000-0000-00008A0D0000}"/>
    <cellStyle name="Accent5 2 6" xfId="6625" xr:uid="{00000000-0005-0000-0000-00008B0D0000}"/>
    <cellStyle name="Accent5 3" xfId="3036" xr:uid="{00000000-0005-0000-0000-00008C0D0000}"/>
    <cellStyle name="Accent5 3 2" xfId="6626" xr:uid="{00000000-0005-0000-0000-00008D0D0000}"/>
    <cellStyle name="Accent5 3 2 2" xfId="6627" xr:uid="{00000000-0005-0000-0000-00008E0D0000}"/>
    <cellStyle name="Accent5 3 3" xfId="6628" xr:uid="{00000000-0005-0000-0000-00008F0D0000}"/>
    <cellStyle name="Accent5 4" xfId="3204" xr:uid="{00000000-0005-0000-0000-0000900D0000}"/>
    <cellStyle name="Accent5 4 2" xfId="6629" xr:uid="{00000000-0005-0000-0000-0000910D0000}"/>
    <cellStyle name="Accent5 5" xfId="6630" xr:uid="{00000000-0005-0000-0000-0000920D0000}"/>
    <cellStyle name="Accent5 5 2" xfId="6631" xr:uid="{00000000-0005-0000-0000-0000930D0000}"/>
    <cellStyle name="Accent5 6" xfId="6632" xr:uid="{00000000-0005-0000-0000-0000940D0000}"/>
    <cellStyle name="Accent5 6 2" xfId="6633" xr:uid="{00000000-0005-0000-0000-0000950D0000}"/>
    <cellStyle name="Accent5 7" xfId="6634" xr:uid="{00000000-0005-0000-0000-0000960D0000}"/>
    <cellStyle name="Accent5 8" xfId="6635" xr:uid="{00000000-0005-0000-0000-0000970D0000}"/>
    <cellStyle name="Accent5 9" xfId="6636" xr:uid="{00000000-0005-0000-0000-0000980D0000}"/>
    <cellStyle name="Accent5 9 2" xfId="6637" xr:uid="{00000000-0005-0000-0000-0000990D0000}"/>
    <cellStyle name="Accent5 9 3" xfId="6638" xr:uid="{00000000-0005-0000-0000-00009A0D0000}"/>
    <cellStyle name="Accent6 - 20%" xfId="6639" xr:uid="{00000000-0005-0000-0000-00009B0D0000}"/>
    <cellStyle name="Accent6 - 40%" xfId="6640" xr:uid="{00000000-0005-0000-0000-00009C0D0000}"/>
    <cellStyle name="Accent6 - 60%" xfId="6641" xr:uid="{00000000-0005-0000-0000-00009D0D0000}"/>
    <cellStyle name="Accent6 10" xfId="6642" xr:uid="{00000000-0005-0000-0000-00009E0D0000}"/>
    <cellStyle name="Accent6 11" xfId="6643" xr:uid="{00000000-0005-0000-0000-00009F0D0000}"/>
    <cellStyle name="Accent6 2" xfId="3037" xr:uid="{00000000-0005-0000-0000-0000A00D0000}"/>
    <cellStyle name="Accent6 2 2" xfId="6644" xr:uid="{00000000-0005-0000-0000-0000A10D0000}"/>
    <cellStyle name="Accent6 2 2 2" xfId="6645" xr:uid="{00000000-0005-0000-0000-0000A20D0000}"/>
    <cellStyle name="Accent6 2 3" xfId="6646" xr:uid="{00000000-0005-0000-0000-0000A30D0000}"/>
    <cellStyle name="Accent6 2 4" xfId="6647" xr:uid="{00000000-0005-0000-0000-0000A40D0000}"/>
    <cellStyle name="Accent6 2 5" xfId="6648" xr:uid="{00000000-0005-0000-0000-0000A50D0000}"/>
    <cellStyle name="Accent6 2 6" xfId="6649" xr:uid="{00000000-0005-0000-0000-0000A60D0000}"/>
    <cellStyle name="Accent6 3" xfId="3038" xr:uid="{00000000-0005-0000-0000-0000A70D0000}"/>
    <cellStyle name="Accent6 3 2" xfId="6650" xr:uid="{00000000-0005-0000-0000-0000A80D0000}"/>
    <cellStyle name="Accent6 3 2 2" xfId="6651" xr:uid="{00000000-0005-0000-0000-0000A90D0000}"/>
    <cellStyle name="Accent6 3 3" xfId="6652" xr:uid="{00000000-0005-0000-0000-0000AA0D0000}"/>
    <cellStyle name="Accent6 3 4" xfId="6653" xr:uid="{00000000-0005-0000-0000-0000AB0D0000}"/>
    <cellStyle name="Accent6 4" xfId="3205" xr:uid="{00000000-0005-0000-0000-0000AC0D0000}"/>
    <cellStyle name="Accent6 4 2" xfId="6654" xr:uid="{00000000-0005-0000-0000-0000AD0D0000}"/>
    <cellStyle name="Accent6 5" xfId="6655" xr:uid="{00000000-0005-0000-0000-0000AE0D0000}"/>
    <cellStyle name="Accent6 5 2" xfId="6656" xr:uid="{00000000-0005-0000-0000-0000AF0D0000}"/>
    <cellStyle name="Accent6 6" xfId="6657" xr:uid="{00000000-0005-0000-0000-0000B00D0000}"/>
    <cellStyle name="Accent6 6 2" xfId="6658" xr:uid="{00000000-0005-0000-0000-0000B10D0000}"/>
    <cellStyle name="Accent6 7" xfId="6659" xr:uid="{00000000-0005-0000-0000-0000B20D0000}"/>
    <cellStyle name="Accent6 8" xfId="6660" xr:uid="{00000000-0005-0000-0000-0000B30D0000}"/>
    <cellStyle name="Accent6 9" xfId="6661" xr:uid="{00000000-0005-0000-0000-0000B40D0000}"/>
    <cellStyle name="Accent6 9 2" xfId="6662" xr:uid="{00000000-0005-0000-0000-0000B50D0000}"/>
    <cellStyle name="Accent6 9 3" xfId="6663" xr:uid="{00000000-0005-0000-0000-0000B60D0000}"/>
    <cellStyle name="Actual Date" xfId="3039" xr:uid="{00000000-0005-0000-0000-0000B70D0000}"/>
    <cellStyle name="Actual Date 10" xfId="6664" xr:uid="{00000000-0005-0000-0000-0000B80D0000}"/>
    <cellStyle name="Actual Date 11" xfId="6665" xr:uid="{00000000-0005-0000-0000-0000B90D0000}"/>
    <cellStyle name="Actual Date 12" xfId="6666" xr:uid="{00000000-0005-0000-0000-0000BA0D0000}"/>
    <cellStyle name="Actual Date 13" xfId="6667" xr:uid="{00000000-0005-0000-0000-0000BB0D0000}"/>
    <cellStyle name="Actual Date 14" xfId="6668" xr:uid="{00000000-0005-0000-0000-0000BC0D0000}"/>
    <cellStyle name="Actual Date 15" xfId="6669" xr:uid="{00000000-0005-0000-0000-0000BD0D0000}"/>
    <cellStyle name="Actual Date 16" xfId="6670" xr:uid="{00000000-0005-0000-0000-0000BE0D0000}"/>
    <cellStyle name="Actual Date 17" xfId="6671" xr:uid="{00000000-0005-0000-0000-0000BF0D0000}"/>
    <cellStyle name="Actual Date 18" xfId="6672" xr:uid="{00000000-0005-0000-0000-0000C00D0000}"/>
    <cellStyle name="Actual Date 19" xfId="6673" xr:uid="{00000000-0005-0000-0000-0000C10D0000}"/>
    <cellStyle name="Actual Date 2" xfId="6674" xr:uid="{00000000-0005-0000-0000-0000C20D0000}"/>
    <cellStyle name="Actual Date 2 2" xfId="6675" xr:uid="{00000000-0005-0000-0000-0000C30D0000}"/>
    <cellStyle name="Actual Date 2 3" xfId="6676" xr:uid="{00000000-0005-0000-0000-0000C40D0000}"/>
    <cellStyle name="Actual Date 2_Actual" xfId="6677" xr:uid="{00000000-0005-0000-0000-0000C50D0000}"/>
    <cellStyle name="Actual Date 20" xfId="6678" xr:uid="{00000000-0005-0000-0000-0000C60D0000}"/>
    <cellStyle name="Actual Date 21" xfId="6679" xr:uid="{00000000-0005-0000-0000-0000C70D0000}"/>
    <cellStyle name="Actual Date 22" xfId="6680" xr:uid="{00000000-0005-0000-0000-0000C80D0000}"/>
    <cellStyle name="Actual Date 23" xfId="6681" xr:uid="{00000000-0005-0000-0000-0000C90D0000}"/>
    <cellStyle name="Actual Date 24" xfId="6682" xr:uid="{00000000-0005-0000-0000-0000CA0D0000}"/>
    <cellStyle name="Actual Date 25" xfId="6683" xr:uid="{00000000-0005-0000-0000-0000CB0D0000}"/>
    <cellStyle name="Actual Date 26" xfId="6684" xr:uid="{00000000-0005-0000-0000-0000CC0D0000}"/>
    <cellStyle name="Actual Date 27" xfId="6685" xr:uid="{00000000-0005-0000-0000-0000CD0D0000}"/>
    <cellStyle name="Actual Date 28" xfId="6686" xr:uid="{00000000-0005-0000-0000-0000CE0D0000}"/>
    <cellStyle name="Actual Date 29" xfId="6687" xr:uid="{00000000-0005-0000-0000-0000CF0D0000}"/>
    <cellStyle name="Actual Date 3" xfId="6688" xr:uid="{00000000-0005-0000-0000-0000D00D0000}"/>
    <cellStyle name="Actual Date 3 2" xfId="6689" xr:uid="{00000000-0005-0000-0000-0000D10D0000}"/>
    <cellStyle name="Actual Date 30" xfId="6690" xr:uid="{00000000-0005-0000-0000-0000D20D0000}"/>
    <cellStyle name="Actual Date 4" xfId="6691" xr:uid="{00000000-0005-0000-0000-0000D30D0000}"/>
    <cellStyle name="Actual Date 4 2" xfId="6692" xr:uid="{00000000-0005-0000-0000-0000D40D0000}"/>
    <cellStyle name="Actual Date 4 3" xfId="6693" xr:uid="{00000000-0005-0000-0000-0000D50D0000}"/>
    <cellStyle name="Actual Date 4_Actual" xfId="6694" xr:uid="{00000000-0005-0000-0000-0000D60D0000}"/>
    <cellStyle name="Actual Date 5" xfId="6695" xr:uid="{00000000-0005-0000-0000-0000D70D0000}"/>
    <cellStyle name="Actual Date 5 2" xfId="6696" xr:uid="{00000000-0005-0000-0000-0000D80D0000}"/>
    <cellStyle name="Actual Date 6" xfId="6697" xr:uid="{00000000-0005-0000-0000-0000D90D0000}"/>
    <cellStyle name="Actual Date 6 2" xfId="6698" xr:uid="{00000000-0005-0000-0000-0000DA0D0000}"/>
    <cellStyle name="Actual Date 7" xfId="6699" xr:uid="{00000000-0005-0000-0000-0000DB0D0000}"/>
    <cellStyle name="Actual Date 7 2" xfId="6700" xr:uid="{00000000-0005-0000-0000-0000DC0D0000}"/>
    <cellStyle name="Actual Date 8" xfId="6701" xr:uid="{00000000-0005-0000-0000-0000DD0D0000}"/>
    <cellStyle name="Actual Date 8 2" xfId="6702" xr:uid="{00000000-0005-0000-0000-0000DE0D0000}"/>
    <cellStyle name="Actual Date 9" xfId="6703" xr:uid="{00000000-0005-0000-0000-0000DF0D0000}"/>
    <cellStyle name="Actual Date 9 2" xfId="6704" xr:uid="{00000000-0005-0000-0000-0000E00D0000}"/>
    <cellStyle name="Actual Date_120110 NFC Risk Flash" xfId="6705" xr:uid="{00000000-0005-0000-0000-0000E10D0000}"/>
    <cellStyle name="Adjustable" xfId="6706" xr:uid="{00000000-0005-0000-0000-0000E20D0000}"/>
    <cellStyle name="adjusted" xfId="6707" xr:uid="{00000000-0005-0000-0000-0000E30D0000}"/>
    <cellStyle name="AFE" xfId="6708" xr:uid="{00000000-0005-0000-0000-0000E40D0000}"/>
    <cellStyle name="AFE 10" xfId="6709" xr:uid="{00000000-0005-0000-0000-0000E50D0000}"/>
    <cellStyle name="AFE 11" xfId="6710" xr:uid="{00000000-0005-0000-0000-0000E60D0000}"/>
    <cellStyle name="AFE 12" xfId="6711" xr:uid="{00000000-0005-0000-0000-0000E70D0000}"/>
    <cellStyle name="AFE 13" xfId="6712" xr:uid="{00000000-0005-0000-0000-0000E80D0000}"/>
    <cellStyle name="AFE 14" xfId="6713" xr:uid="{00000000-0005-0000-0000-0000E90D0000}"/>
    <cellStyle name="AFE 15" xfId="6714" xr:uid="{00000000-0005-0000-0000-0000EA0D0000}"/>
    <cellStyle name="AFE 16" xfId="6715" xr:uid="{00000000-0005-0000-0000-0000EB0D0000}"/>
    <cellStyle name="AFE 17" xfId="6716" xr:uid="{00000000-0005-0000-0000-0000EC0D0000}"/>
    <cellStyle name="AFE 18" xfId="6717" xr:uid="{00000000-0005-0000-0000-0000ED0D0000}"/>
    <cellStyle name="AFE 19" xfId="6718" xr:uid="{00000000-0005-0000-0000-0000EE0D0000}"/>
    <cellStyle name="AFE 2" xfId="6719" xr:uid="{00000000-0005-0000-0000-0000EF0D0000}"/>
    <cellStyle name="AFE 20" xfId="6720" xr:uid="{00000000-0005-0000-0000-0000F00D0000}"/>
    <cellStyle name="AFE 21" xfId="6721" xr:uid="{00000000-0005-0000-0000-0000F10D0000}"/>
    <cellStyle name="AFE 22" xfId="6722" xr:uid="{00000000-0005-0000-0000-0000F20D0000}"/>
    <cellStyle name="AFE 3" xfId="6723" xr:uid="{00000000-0005-0000-0000-0000F30D0000}"/>
    <cellStyle name="AFE 4" xfId="6724" xr:uid="{00000000-0005-0000-0000-0000F40D0000}"/>
    <cellStyle name="AFE 5" xfId="6725" xr:uid="{00000000-0005-0000-0000-0000F50D0000}"/>
    <cellStyle name="AFE 6" xfId="6726" xr:uid="{00000000-0005-0000-0000-0000F60D0000}"/>
    <cellStyle name="AFE 7" xfId="6727" xr:uid="{00000000-0005-0000-0000-0000F70D0000}"/>
    <cellStyle name="AFE 8" xfId="6728" xr:uid="{00000000-0005-0000-0000-0000F80D0000}"/>
    <cellStyle name="AFE 9" xfId="6729" xr:uid="{00000000-0005-0000-0000-0000F90D0000}"/>
    <cellStyle name="Assumption" xfId="6730" xr:uid="{00000000-0005-0000-0000-0000FA0D0000}"/>
    <cellStyle name="Assumption 10" xfId="6731" xr:uid="{00000000-0005-0000-0000-0000FB0D0000}"/>
    <cellStyle name="Assumption 11" xfId="6732" xr:uid="{00000000-0005-0000-0000-0000FC0D0000}"/>
    <cellStyle name="Assumption 12" xfId="6733" xr:uid="{00000000-0005-0000-0000-0000FD0D0000}"/>
    <cellStyle name="Assumption 13" xfId="6734" xr:uid="{00000000-0005-0000-0000-0000FE0D0000}"/>
    <cellStyle name="Assumption 14" xfId="6735" xr:uid="{00000000-0005-0000-0000-0000FF0D0000}"/>
    <cellStyle name="Assumption 15" xfId="6736" xr:uid="{00000000-0005-0000-0000-0000000E0000}"/>
    <cellStyle name="Assumption 16" xfId="6737" xr:uid="{00000000-0005-0000-0000-0000010E0000}"/>
    <cellStyle name="Assumption 17" xfId="6738" xr:uid="{00000000-0005-0000-0000-0000020E0000}"/>
    <cellStyle name="Assumption 18" xfId="6739" xr:uid="{00000000-0005-0000-0000-0000030E0000}"/>
    <cellStyle name="Assumption 19" xfId="6740" xr:uid="{00000000-0005-0000-0000-0000040E0000}"/>
    <cellStyle name="Assumption 2" xfId="6741" xr:uid="{00000000-0005-0000-0000-0000050E0000}"/>
    <cellStyle name="Assumption 20" xfId="6742" xr:uid="{00000000-0005-0000-0000-0000060E0000}"/>
    <cellStyle name="Assumption 21" xfId="6743" xr:uid="{00000000-0005-0000-0000-0000070E0000}"/>
    <cellStyle name="Assumption 22" xfId="6744" xr:uid="{00000000-0005-0000-0000-0000080E0000}"/>
    <cellStyle name="Assumption 23" xfId="6745" xr:uid="{00000000-0005-0000-0000-0000090E0000}"/>
    <cellStyle name="Assumption 24" xfId="6746" xr:uid="{00000000-0005-0000-0000-00000A0E0000}"/>
    <cellStyle name="Assumption 25" xfId="6747" xr:uid="{00000000-0005-0000-0000-00000B0E0000}"/>
    <cellStyle name="Assumption 26" xfId="6748" xr:uid="{00000000-0005-0000-0000-00000C0E0000}"/>
    <cellStyle name="Assumption 27" xfId="6749" xr:uid="{00000000-0005-0000-0000-00000D0E0000}"/>
    <cellStyle name="Assumption 28" xfId="6750" xr:uid="{00000000-0005-0000-0000-00000E0E0000}"/>
    <cellStyle name="Assumption 29" xfId="6751" xr:uid="{00000000-0005-0000-0000-00000F0E0000}"/>
    <cellStyle name="Assumption 3" xfId="6752" xr:uid="{00000000-0005-0000-0000-0000100E0000}"/>
    <cellStyle name="Assumption 30" xfId="6753" xr:uid="{00000000-0005-0000-0000-0000110E0000}"/>
    <cellStyle name="Assumption 4" xfId="6754" xr:uid="{00000000-0005-0000-0000-0000120E0000}"/>
    <cellStyle name="Assumption 5" xfId="6755" xr:uid="{00000000-0005-0000-0000-0000130E0000}"/>
    <cellStyle name="Assumption 6" xfId="6756" xr:uid="{00000000-0005-0000-0000-0000140E0000}"/>
    <cellStyle name="Assumption 7" xfId="6757" xr:uid="{00000000-0005-0000-0000-0000150E0000}"/>
    <cellStyle name="Assumption 8" xfId="6758" xr:uid="{00000000-0005-0000-0000-0000160E0000}"/>
    <cellStyle name="Assumption 9" xfId="6759" xr:uid="{00000000-0005-0000-0000-0000170E0000}"/>
    <cellStyle name="Bad 10" xfId="6760" xr:uid="{00000000-0005-0000-0000-0000180E0000}"/>
    <cellStyle name="Bad 11" xfId="6761" xr:uid="{00000000-0005-0000-0000-0000190E0000}"/>
    <cellStyle name="Bad 2" xfId="3040" xr:uid="{00000000-0005-0000-0000-00001A0E0000}"/>
    <cellStyle name="Bad 2 2" xfId="6762" xr:uid="{00000000-0005-0000-0000-00001B0E0000}"/>
    <cellStyle name="Bad 2 2 2" xfId="6763" xr:uid="{00000000-0005-0000-0000-00001C0E0000}"/>
    <cellStyle name="Bad 2 3" xfId="6764" xr:uid="{00000000-0005-0000-0000-00001D0E0000}"/>
    <cellStyle name="Bad 2 4" xfId="6765" xr:uid="{00000000-0005-0000-0000-00001E0E0000}"/>
    <cellStyle name="Bad 2 5" xfId="6766" xr:uid="{00000000-0005-0000-0000-00001F0E0000}"/>
    <cellStyle name="Bad 2 6" xfId="6767" xr:uid="{00000000-0005-0000-0000-0000200E0000}"/>
    <cellStyle name="Bad 3" xfId="3041" xr:uid="{00000000-0005-0000-0000-0000210E0000}"/>
    <cellStyle name="Bad 3 2" xfId="6768" xr:uid="{00000000-0005-0000-0000-0000220E0000}"/>
    <cellStyle name="Bad 3 2 2" xfId="6769" xr:uid="{00000000-0005-0000-0000-0000230E0000}"/>
    <cellStyle name="Bad 3 3" xfId="6770" xr:uid="{00000000-0005-0000-0000-0000240E0000}"/>
    <cellStyle name="Bad 3 4" xfId="6771" xr:uid="{00000000-0005-0000-0000-0000250E0000}"/>
    <cellStyle name="Bad 4" xfId="3206" xr:uid="{00000000-0005-0000-0000-0000260E0000}"/>
    <cellStyle name="Bad 4 2" xfId="6772" xr:uid="{00000000-0005-0000-0000-0000270E0000}"/>
    <cellStyle name="Bad 5" xfId="6773" xr:uid="{00000000-0005-0000-0000-0000280E0000}"/>
    <cellStyle name="Bad 5 2" xfId="6774" xr:uid="{00000000-0005-0000-0000-0000290E0000}"/>
    <cellStyle name="Bad 6" xfId="6775" xr:uid="{00000000-0005-0000-0000-00002A0E0000}"/>
    <cellStyle name="Bad 6 2" xfId="6776" xr:uid="{00000000-0005-0000-0000-00002B0E0000}"/>
    <cellStyle name="Bad 7" xfId="6777" xr:uid="{00000000-0005-0000-0000-00002C0E0000}"/>
    <cellStyle name="Bad 8" xfId="6778" xr:uid="{00000000-0005-0000-0000-00002D0E0000}"/>
    <cellStyle name="Bad 9" xfId="6779" xr:uid="{00000000-0005-0000-0000-00002E0E0000}"/>
    <cellStyle name="Bad 9 2" xfId="6780" xr:uid="{00000000-0005-0000-0000-00002F0E0000}"/>
    <cellStyle name="Bad 9 3" xfId="6781" xr:uid="{00000000-0005-0000-0000-0000300E0000}"/>
    <cellStyle name="Blank" xfId="6782" xr:uid="{00000000-0005-0000-0000-0000310E0000}"/>
    <cellStyle name="Bold/Border" xfId="6783" xr:uid="{00000000-0005-0000-0000-0000320E0000}"/>
    <cellStyle name="Bold/Border 2" xfId="16881" xr:uid="{00000000-0005-0000-0000-0000330E0000}"/>
    <cellStyle name="Border" xfId="6784" xr:uid="{00000000-0005-0000-0000-0000340E0000}"/>
    <cellStyle name="Border Heavy" xfId="6785" xr:uid="{00000000-0005-0000-0000-0000350E0000}"/>
    <cellStyle name="Border Heavy 10" xfId="6786" xr:uid="{00000000-0005-0000-0000-0000360E0000}"/>
    <cellStyle name="Border Heavy 11" xfId="6787" xr:uid="{00000000-0005-0000-0000-0000370E0000}"/>
    <cellStyle name="Border Heavy 12" xfId="6788" xr:uid="{00000000-0005-0000-0000-0000380E0000}"/>
    <cellStyle name="Border Heavy 13" xfId="6789" xr:uid="{00000000-0005-0000-0000-0000390E0000}"/>
    <cellStyle name="Border Heavy 14" xfId="6790" xr:uid="{00000000-0005-0000-0000-00003A0E0000}"/>
    <cellStyle name="Border Heavy 15" xfId="6791" xr:uid="{00000000-0005-0000-0000-00003B0E0000}"/>
    <cellStyle name="Border Heavy 16" xfId="6792" xr:uid="{00000000-0005-0000-0000-00003C0E0000}"/>
    <cellStyle name="Border Heavy 17" xfId="6793" xr:uid="{00000000-0005-0000-0000-00003D0E0000}"/>
    <cellStyle name="Border Heavy 18" xfId="6794" xr:uid="{00000000-0005-0000-0000-00003E0E0000}"/>
    <cellStyle name="Border Heavy 19" xfId="6795" xr:uid="{00000000-0005-0000-0000-00003F0E0000}"/>
    <cellStyle name="Border Heavy 2" xfId="6796" xr:uid="{00000000-0005-0000-0000-0000400E0000}"/>
    <cellStyle name="Border Heavy 20" xfId="6797" xr:uid="{00000000-0005-0000-0000-0000410E0000}"/>
    <cellStyle name="Border Heavy 21" xfId="6798" xr:uid="{00000000-0005-0000-0000-0000420E0000}"/>
    <cellStyle name="Border Heavy 22" xfId="6799" xr:uid="{00000000-0005-0000-0000-0000430E0000}"/>
    <cellStyle name="Border Heavy 23" xfId="6800" xr:uid="{00000000-0005-0000-0000-0000440E0000}"/>
    <cellStyle name="Border Heavy 24" xfId="6801" xr:uid="{00000000-0005-0000-0000-0000450E0000}"/>
    <cellStyle name="Border Heavy 25" xfId="6802" xr:uid="{00000000-0005-0000-0000-0000460E0000}"/>
    <cellStyle name="Border Heavy 26" xfId="6803" xr:uid="{00000000-0005-0000-0000-0000470E0000}"/>
    <cellStyle name="Border Heavy 27" xfId="6804" xr:uid="{00000000-0005-0000-0000-0000480E0000}"/>
    <cellStyle name="Border Heavy 28" xfId="6805" xr:uid="{00000000-0005-0000-0000-0000490E0000}"/>
    <cellStyle name="Border Heavy 29" xfId="6806" xr:uid="{00000000-0005-0000-0000-00004A0E0000}"/>
    <cellStyle name="Border Heavy 3" xfId="6807" xr:uid="{00000000-0005-0000-0000-00004B0E0000}"/>
    <cellStyle name="Border Heavy 30" xfId="6808" xr:uid="{00000000-0005-0000-0000-00004C0E0000}"/>
    <cellStyle name="Border Heavy 4" xfId="6809" xr:uid="{00000000-0005-0000-0000-00004D0E0000}"/>
    <cellStyle name="Border Heavy 5" xfId="6810" xr:uid="{00000000-0005-0000-0000-00004E0E0000}"/>
    <cellStyle name="Border Heavy 6" xfId="6811" xr:uid="{00000000-0005-0000-0000-00004F0E0000}"/>
    <cellStyle name="Border Heavy 7" xfId="6812" xr:uid="{00000000-0005-0000-0000-0000500E0000}"/>
    <cellStyle name="Border Heavy 8" xfId="6813" xr:uid="{00000000-0005-0000-0000-0000510E0000}"/>
    <cellStyle name="Border Heavy 9" xfId="6814" xr:uid="{00000000-0005-0000-0000-0000520E0000}"/>
    <cellStyle name="Border Thin" xfId="6815" xr:uid="{00000000-0005-0000-0000-0000530E0000}"/>
    <cellStyle name="Border Thin 10" xfId="6816" xr:uid="{00000000-0005-0000-0000-0000540E0000}"/>
    <cellStyle name="Border Thin 11" xfId="6817" xr:uid="{00000000-0005-0000-0000-0000550E0000}"/>
    <cellStyle name="Border Thin 12" xfId="6818" xr:uid="{00000000-0005-0000-0000-0000560E0000}"/>
    <cellStyle name="Border Thin 13" xfId="6819" xr:uid="{00000000-0005-0000-0000-0000570E0000}"/>
    <cellStyle name="Border Thin 14" xfId="6820" xr:uid="{00000000-0005-0000-0000-0000580E0000}"/>
    <cellStyle name="Border Thin 15" xfId="6821" xr:uid="{00000000-0005-0000-0000-0000590E0000}"/>
    <cellStyle name="Border Thin 16" xfId="6822" xr:uid="{00000000-0005-0000-0000-00005A0E0000}"/>
    <cellStyle name="Border Thin 17" xfId="6823" xr:uid="{00000000-0005-0000-0000-00005B0E0000}"/>
    <cellStyle name="Border Thin 18" xfId="6824" xr:uid="{00000000-0005-0000-0000-00005C0E0000}"/>
    <cellStyle name="Border Thin 19" xfId="6825" xr:uid="{00000000-0005-0000-0000-00005D0E0000}"/>
    <cellStyle name="Border Thin 2" xfId="6826" xr:uid="{00000000-0005-0000-0000-00005E0E0000}"/>
    <cellStyle name="Border Thin 20" xfId="6827" xr:uid="{00000000-0005-0000-0000-00005F0E0000}"/>
    <cellStyle name="Border Thin 21" xfId="6828" xr:uid="{00000000-0005-0000-0000-0000600E0000}"/>
    <cellStyle name="Border Thin 22" xfId="6829" xr:uid="{00000000-0005-0000-0000-0000610E0000}"/>
    <cellStyle name="Border Thin 23" xfId="6830" xr:uid="{00000000-0005-0000-0000-0000620E0000}"/>
    <cellStyle name="Border Thin 24" xfId="6831" xr:uid="{00000000-0005-0000-0000-0000630E0000}"/>
    <cellStyle name="Border Thin 25" xfId="6832" xr:uid="{00000000-0005-0000-0000-0000640E0000}"/>
    <cellStyle name="Border Thin 26" xfId="6833" xr:uid="{00000000-0005-0000-0000-0000650E0000}"/>
    <cellStyle name="Border Thin 27" xfId="6834" xr:uid="{00000000-0005-0000-0000-0000660E0000}"/>
    <cellStyle name="Border Thin 28" xfId="6835" xr:uid="{00000000-0005-0000-0000-0000670E0000}"/>
    <cellStyle name="Border Thin 29" xfId="6836" xr:uid="{00000000-0005-0000-0000-0000680E0000}"/>
    <cellStyle name="Border Thin 3" xfId="6837" xr:uid="{00000000-0005-0000-0000-0000690E0000}"/>
    <cellStyle name="Border Thin 30" xfId="6838" xr:uid="{00000000-0005-0000-0000-00006A0E0000}"/>
    <cellStyle name="Border Thin 4" xfId="6839" xr:uid="{00000000-0005-0000-0000-00006B0E0000}"/>
    <cellStyle name="Border Thin 5" xfId="6840" xr:uid="{00000000-0005-0000-0000-00006C0E0000}"/>
    <cellStyle name="Border Thin 6" xfId="6841" xr:uid="{00000000-0005-0000-0000-00006D0E0000}"/>
    <cellStyle name="Border Thin 7" xfId="6842" xr:uid="{00000000-0005-0000-0000-00006E0E0000}"/>
    <cellStyle name="Border Thin 8" xfId="6843" xr:uid="{00000000-0005-0000-0000-00006F0E0000}"/>
    <cellStyle name="Border Thin 9" xfId="6844" xr:uid="{00000000-0005-0000-0000-0000700E0000}"/>
    <cellStyle name="Bullet" xfId="6845" xr:uid="{00000000-0005-0000-0000-0000710E0000}"/>
    <cellStyle name="Calculation 10" xfId="6846" xr:uid="{00000000-0005-0000-0000-0000720E0000}"/>
    <cellStyle name="Calculation 11" xfId="6847" xr:uid="{00000000-0005-0000-0000-0000730E0000}"/>
    <cellStyle name="Calculation 2" xfId="3042" xr:uid="{00000000-0005-0000-0000-0000740E0000}"/>
    <cellStyle name="Calculation 2 2" xfId="6848" xr:uid="{00000000-0005-0000-0000-0000750E0000}"/>
    <cellStyle name="Calculation 2 2 2" xfId="6849" xr:uid="{00000000-0005-0000-0000-0000760E0000}"/>
    <cellStyle name="Calculation 2 3" xfId="6850" xr:uid="{00000000-0005-0000-0000-0000770E0000}"/>
    <cellStyle name="Calculation 2 3 2" xfId="6851" xr:uid="{00000000-0005-0000-0000-0000780E0000}"/>
    <cellStyle name="Calculation 2 4" xfId="6852" xr:uid="{00000000-0005-0000-0000-0000790E0000}"/>
    <cellStyle name="Calculation 2 5" xfId="6853" xr:uid="{00000000-0005-0000-0000-00007A0E0000}"/>
    <cellStyle name="Calculation 2 6" xfId="6854" xr:uid="{00000000-0005-0000-0000-00007B0E0000}"/>
    <cellStyle name="Calculation 2 7" xfId="6855" xr:uid="{00000000-0005-0000-0000-00007C0E0000}"/>
    <cellStyle name="Calculation 3" xfId="3043" xr:uid="{00000000-0005-0000-0000-00007D0E0000}"/>
    <cellStyle name="Calculation 3 2" xfId="6856" xr:uid="{00000000-0005-0000-0000-00007E0E0000}"/>
    <cellStyle name="Calculation 3 2 2" xfId="6857" xr:uid="{00000000-0005-0000-0000-00007F0E0000}"/>
    <cellStyle name="Calculation 3 3" xfId="6858" xr:uid="{00000000-0005-0000-0000-0000800E0000}"/>
    <cellStyle name="Calculation 3 4" xfId="6859" xr:uid="{00000000-0005-0000-0000-0000810E0000}"/>
    <cellStyle name="Calculation 4" xfId="3207" xr:uid="{00000000-0005-0000-0000-0000820E0000}"/>
    <cellStyle name="Calculation 4 2" xfId="6860" xr:uid="{00000000-0005-0000-0000-0000830E0000}"/>
    <cellStyle name="Calculation 5" xfId="6861" xr:uid="{00000000-0005-0000-0000-0000840E0000}"/>
    <cellStyle name="Calculation 5 2" xfId="6862" xr:uid="{00000000-0005-0000-0000-0000850E0000}"/>
    <cellStyle name="Calculation 6" xfId="6863" xr:uid="{00000000-0005-0000-0000-0000860E0000}"/>
    <cellStyle name="Calculation 6 2" xfId="6864" xr:uid="{00000000-0005-0000-0000-0000870E0000}"/>
    <cellStyle name="Calculation 7" xfId="6865" xr:uid="{00000000-0005-0000-0000-0000880E0000}"/>
    <cellStyle name="Calculation 8" xfId="6866" xr:uid="{00000000-0005-0000-0000-0000890E0000}"/>
    <cellStyle name="Calculation 9" xfId="6867" xr:uid="{00000000-0005-0000-0000-00008A0E0000}"/>
    <cellStyle name="Calculation 9 2" xfId="6868" xr:uid="{00000000-0005-0000-0000-00008B0E0000}"/>
    <cellStyle name="Calculation 9 3" xfId="6869" xr:uid="{00000000-0005-0000-0000-00008C0E0000}"/>
    <cellStyle name="Check Cell 10" xfId="6870" xr:uid="{00000000-0005-0000-0000-00008D0E0000}"/>
    <cellStyle name="Check Cell 11" xfId="6871" xr:uid="{00000000-0005-0000-0000-00008E0E0000}"/>
    <cellStyle name="Check Cell 2" xfId="3044" xr:uid="{00000000-0005-0000-0000-00008F0E0000}"/>
    <cellStyle name="Check Cell 2 2" xfId="6872" xr:uid="{00000000-0005-0000-0000-0000900E0000}"/>
    <cellStyle name="Check Cell 2 2 2" xfId="6873" xr:uid="{00000000-0005-0000-0000-0000910E0000}"/>
    <cellStyle name="Check Cell 2 3" xfId="6874" xr:uid="{00000000-0005-0000-0000-0000920E0000}"/>
    <cellStyle name="Check Cell 2 4" xfId="6875" xr:uid="{00000000-0005-0000-0000-0000930E0000}"/>
    <cellStyle name="Check Cell 2 5" xfId="6876" xr:uid="{00000000-0005-0000-0000-0000940E0000}"/>
    <cellStyle name="Check Cell 2 6" xfId="6877" xr:uid="{00000000-0005-0000-0000-0000950E0000}"/>
    <cellStyle name="Check Cell 3" xfId="3045" xr:uid="{00000000-0005-0000-0000-0000960E0000}"/>
    <cellStyle name="Check Cell 3 2" xfId="6878" xr:uid="{00000000-0005-0000-0000-0000970E0000}"/>
    <cellStyle name="Check Cell 3 2 2" xfId="6879" xr:uid="{00000000-0005-0000-0000-0000980E0000}"/>
    <cellStyle name="Check Cell 3 3" xfId="6880" xr:uid="{00000000-0005-0000-0000-0000990E0000}"/>
    <cellStyle name="Check Cell 4" xfId="3208" xr:uid="{00000000-0005-0000-0000-00009A0E0000}"/>
    <cellStyle name="Check Cell 4 2" xfId="6881" xr:uid="{00000000-0005-0000-0000-00009B0E0000}"/>
    <cellStyle name="Check Cell 5" xfId="6882" xr:uid="{00000000-0005-0000-0000-00009C0E0000}"/>
    <cellStyle name="Check Cell 5 2" xfId="6883" xr:uid="{00000000-0005-0000-0000-00009D0E0000}"/>
    <cellStyle name="Check Cell 6" xfId="6884" xr:uid="{00000000-0005-0000-0000-00009E0E0000}"/>
    <cellStyle name="Check Cell 6 2" xfId="6885" xr:uid="{00000000-0005-0000-0000-00009F0E0000}"/>
    <cellStyle name="Check Cell 7" xfId="6886" xr:uid="{00000000-0005-0000-0000-0000A00E0000}"/>
    <cellStyle name="Check Cell 8" xfId="6887" xr:uid="{00000000-0005-0000-0000-0000A10E0000}"/>
    <cellStyle name="Check Cell 9" xfId="6888" xr:uid="{00000000-0005-0000-0000-0000A20E0000}"/>
    <cellStyle name="Check Cell 9 2" xfId="6889" xr:uid="{00000000-0005-0000-0000-0000A30E0000}"/>
    <cellStyle name="Check Cell 9 3" xfId="6890" xr:uid="{00000000-0005-0000-0000-0000A40E0000}"/>
    <cellStyle name="Comma" xfId="1" builtinId="3"/>
    <cellStyle name="Comma (0)" xfId="6891" xr:uid="{00000000-0005-0000-0000-0000A60E0000}"/>
    <cellStyle name="Comma [0] 2" xfId="3046" xr:uid="{00000000-0005-0000-0000-0000A70E0000}"/>
    <cellStyle name="Comma [2]" xfId="6892" xr:uid="{00000000-0005-0000-0000-0000A80E0000}"/>
    <cellStyle name="Comma [2] 2" xfId="6893" xr:uid="{00000000-0005-0000-0000-0000A90E0000}"/>
    <cellStyle name="Comma [2] 3" xfId="6894" xr:uid="{00000000-0005-0000-0000-0000AA0E0000}"/>
    <cellStyle name="Comma [2] 4" xfId="6895" xr:uid="{00000000-0005-0000-0000-0000AB0E0000}"/>
    <cellStyle name="Comma 0" xfId="6896" xr:uid="{00000000-0005-0000-0000-0000AC0E0000}"/>
    <cellStyle name="Comma 0 [0]" xfId="6897" xr:uid="{00000000-0005-0000-0000-0000AD0E0000}"/>
    <cellStyle name="Comma 0 10" xfId="6898" xr:uid="{00000000-0005-0000-0000-0000AE0E0000}"/>
    <cellStyle name="Comma 0 11" xfId="6899" xr:uid="{00000000-0005-0000-0000-0000AF0E0000}"/>
    <cellStyle name="Comma 0 12" xfId="6900" xr:uid="{00000000-0005-0000-0000-0000B00E0000}"/>
    <cellStyle name="Comma 0 13" xfId="6901" xr:uid="{00000000-0005-0000-0000-0000B10E0000}"/>
    <cellStyle name="Comma 0 14" xfId="6902" xr:uid="{00000000-0005-0000-0000-0000B20E0000}"/>
    <cellStyle name="Comma 0 15" xfId="6903" xr:uid="{00000000-0005-0000-0000-0000B30E0000}"/>
    <cellStyle name="Comma 0 16" xfId="6904" xr:uid="{00000000-0005-0000-0000-0000B40E0000}"/>
    <cellStyle name="Comma 0 17" xfId="6905" xr:uid="{00000000-0005-0000-0000-0000B50E0000}"/>
    <cellStyle name="Comma 0 18" xfId="6906" xr:uid="{00000000-0005-0000-0000-0000B60E0000}"/>
    <cellStyle name="Comma 0 19" xfId="6907" xr:uid="{00000000-0005-0000-0000-0000B70E0000}"/>
    <cellStyle name="Comma 0 2" xfId="6908" xr:uid="{00000000-0005-0000-0000-0000B80E0000}"/>
    <cellStyle name="Comma 0 20" xfId="6909" xr:uid="{00000000-0005-0000-0000-0000B90E0000}"/>
    <cellStyle name="Comma 0 21" xfId="6910" xr:uid="{00000000-0005-0000-0000-0000BA0E0000}"/>
    <cellStyle name="Comma 0 22" xfId="6911" xr:uid="{00000000-0005-0000-0000-0000BB0E0000}"/>
    <cellStyle name="Comma 0 23" xfId="6912" xr:uid="{00000000-0005-0000-0000-0000BC0E0000}"/>
    <cellStyle name="Comma 0 24" xfId="6913" xr:uid="{00000000-0005-0000-0000-0000BD0E0000}"/>
    <cellStyle name="Comma 0 25" xfId="6914" xr:uid="{00000000-0005-0000-0000-0000BE0E0000}"/>
    <cellStyle name="Comma 0 26" xfId="6915" xr:uid="{00000000-0005-0000-0000-0000BF0E0000}"/>
    <cellStyle name="Comma 0 27" xfId="6916" xr:uid="{00000000-0005-0000-0000-0000C00E0000}"/>
    <cellStyle name="Comma 0 28" xfId="6917" xr:uid="{00000000-0005-0000-0000-0000C10E0000}"/>
    <cellStyle name="Comma 0 29" xfId="6918" xr:uid="{00000000-0005-0000-0000-0000C20E0000}"/>
    <cellStyle name="Comma 0 3" xfId="6919" xr:uid="{00000000-0005-0000-0000-0000C30E0000}"/>
    <cellStyle name="Comma 0 30" xfId="6920" xr:uid="{00000000-0005-0000-0000-0000C40E0000}"/>
    <cellStyle name="Comma 0 4" xfId="6921" xr:uid="{00000000-0005-0000-0000-0000C50E0000}"/>
    <cellStyle name="Comma 0 5" xfId="6922" xr:uid="{00000000-0005-0000-0000-0000C60E0000}"/>
    <cellStyle name="Comma 0 6" xfId="6923" xr:uid="{00000000-0005-0000-0000-0000C70E0000}"/>
    <cellStyle name="Comma 0 7" xfId="6924" xr:uid="{00000000-0005-0000-0000-0000C80E0000}"/>
    <cellStyle name="Comma 0 8" xfId="6925" xr:uid="{00000000-0005-0000-0000-0000C90E0000}"/>
    <cellStyle name="Comma 0 9" xfId="6926" xr:uid="{00000000-0005-0000-0000-0000CA0E0000}"/>
    <cellStyle name="Comma 0_2006 08 11 RX3 Valuation v1" xfId="6927" xr:uid="{00000000-0005-0000-0000-0000CB0E0000}"/>
    <cellStyle name="Comma 10" xfId="3047" xr:uid="{00000000-0005-0000-0000-0000CC0E0000}"/>
    <cellStyle name="Comma 10 2" xfId="6928" xr:uid="{00000000-0005-0000-0000-0000CD0E0000}"/>
    <cellStyle name="Comma 10 2 2" xfId="6929" xr:uid="{00000000-0005-0000-0000-0000CE0E0000}"/>
    <cellStyle name="Comma 10 3" xfId="6930" xr:uid="{00000000-0005-0000-0000-0000CF0E0000}"/>
    <cellStyle name="Comma 10 3 2" xfId="6931" xr:uid="{00000000-0005-0000-0000-0000D00E0000}"/>
    <cellStyle name="Comma 10 4" xfId="6932" xr:uid="{00000000-0005-0000-0000-0000D10E0000}"/>
    <cellStyle name="Comma 11" xfId="3181" xr:uid="{00000000-0005-0000-0000-0000D20E0000}"/>
    <cellStyle name="Comma 11 2" xfId="6933" xr:uid="{00000000-0005-0000-0000-0000D30E0000}"/>
    <cellStyle name="Comma 11 2 2" xfId="6934" xr:uid="{00000000-0005-0000-0000-0000D40E0000}"/>
    <cellStyle name="Comma 11 2 2 2" xfId="6935" xr:uid="{00000000-0005-0000-0000-0000D50E0000}"/>
    <cellStyle name="Comma 11 2 2 2 2" xfId="6936" xr:uid="{00000000-0005-0000-0000-0000D60E0000}"/>
    <cellStyle name="Comma 11 2 2 3" xfId="6937" xr:uid="{00000000-0005-0000-0000-0000D70E0000}"/>
    <cellStyle name="Comma 11 2 3" xfId="6938" xr:uid="{00000000-0005-0000-0000-0000D80E0000}"/>
    <cellStyle name="Comma 11 2 3 2" xfId="6939" xr:uid="{00000000-0005-0000-0000-0000D90E0000}"/>
    <cellStyle name="Comma 11 2 4" xfId="6940" xr:uid="{00000000-0005-0000-0000-0000DA0E0000}"/>
    <cellStyle name="Comma 11 3" xfId="6941" xr:uid="{00000000-0005-0000-0000-0000DB0E0000}"/>
    <cellStyle name="Comma 11 3 2" xfId="6942" xr:uid="{00000000-0005-0000-0000-0000DC0E0000}"/>
    <cellStyle name="Comma 11 3 2 2" xfId="6943" xr:uid="{00000000-0005-0000-0000-0000DD0E0000}"/>
    <cellStyle name="Comma 11 3 3" xfId="6944" xr:uid="{00000000-0005-0000-0000-0000DE0E0000}"/>
    <cellStyle name="Comma 11 4" xfId="6945" xr:uid="{00000000-0005-0000-0000-0000DF0E0000}"/>
    <cellStyle name="Comma 11 4 2" xfId="6946" xr:uid="{00000000-0005-0000-0000-0000E00E0000}"/>
    <cellStyle name="Comma 11 5" xfId="6947" xr:uid="{00000000-0005-0000-0000-0000E10E0000}"/>
    <cellStyle name="Comma 11 6" xfId="6948" xr:uid="{00000000-0005-0000-0000-0000E20E0000}"/>
    <cellStyle name="Comma 12" xfId="6949" xr:uid="{00000000-0005-0000-0000-0000E30E0000}"/>
    <cellStyle name="Comma 12 2" xfId="6950" xr:uid="{00000000-0005-0000-0000-0000E40E0000}"/>
    <cellStyle name="Comma 12 2 2" xfId="6951" xr:uid="{00000000-0005-0000-0000-0000E50E0000}"/>
    <cellStyle name="Comma 12 3" xfId="6952" xr:uid="{00000000-0005-0000-0000-0000E60E0000}"/>
    <cellStyle name="Comma 13" xfId="6953" xr:uid="{00000000-0005-0000-0000-0000E70E0000}"/>
    <cellStyle name="Comma 13 2" xfId="6954" xr:uid="{00000000-0005-0000-0000-0000E80E0000}"/>
    <cellStyle name="Comma 14" xfId="6955" xr:uid="{00000000-0005-0000-0000-0000E90E0000}"/>
    <cellStyle name="Comma 14 2" xfId="6956" xr:uid="{00000000-0005-0000-0000-0000EA0E0000}"/>
    <cellStyle name="Comma 15" xfId="6957" xr:uid="{00000000-0005-0000-0000-0000EB0E0000}"/>
    <cellStyle name="Comma 15 2" xfId="6958" xr:uid="{00000000-0005-0000-0000-0000EC0E0000}"/>
    <cellStyle name="Comma 16" xfId="6959" xr:uid="{00000000-0005-0000-0000-0000ED0E0000}"/>
    <cellStyle name="Comma 16 2" xfId="6960" xr:uid="{00000000-0005-0000-0000-0000EE0E0000}"/>
    <cellStyle name="Comma 17" xfId="6961" xr:uid="{00000000-0005-0000-0000-0000EF0E0000}"/>
    <cellStyle name="Comma 17 2" xfId="6962" xr:uid="{00000000-0005-0000-0000-0000F00E0000}"/>
    <cellStyle name="Comma 18" xfId="6963" xr:uid="{00000000-0005-0000-0000-0000F10E0000}"/>
    <cellStyle name="Comma 19" xfId="6964" xr:uid="{00000000-0005-0000-0000-0000F20E0000}"/>
    <cellStyle name="Comma 2" xfId="7" xr:uid="{00000000-0005-0000-0000-0000F30E0000}"/>
    <cellStyle name="Comma 2 10" xfId="6965" xr:uid="{00000000-0005-0000-0000-0000F40E0000}"/>
    <cellStyle name="Comma 2 11" xfId="6966" xr:uid="{00000000-0005-0000-0000-0000F50E0000}"/>
    <cellStyle name="Comma 2 12" xfId="6967" xr:uid="{00000000-0005-0000-0000-0000F60E0000}"/>
    <cellStyle name="Comma 2 13" xfId="6968" xr:uid="{00000000-0005-0000-0000-0000F70E0000}"/>
    <cellStyle name="Comma 2 14" xfId="6969" xr:uid="{00000000-0005-0000-0000-0000F80E0000}"/>
    <cellStyle name="Comma 2 15" xfId="6970" xr:uid="{00000000-0005-0000-0000-0000F90E0000}"/>
    <cellStyle name="Comma 2 16" xfId="6971" xr:uid="{00000000-0005-0000-0000-0000FA0E0000}"/>
    <cellStyle name="Comma 2 17" xfId="6972" xr:uid="{00000000-0005-0000-0000-0000FB0E0000}"/>
    <cellStyle name="Comma 2 18" xfId="6973" xr:uid="{00000000-0005-0000-0000-0000FC0E0000}"/>
    <cellStyle name="Comma 2 19" xfId="6974" xr:uid="{00000000-0005-0000-0000-0000FD0E0000}"/>
    <cellStyle name="Comma 2 2" xfId="18" xr:uid="{00000000-0005-0000-0000-0000FE0E0000}"/>
    <cellStyle name="Comma 2 2 10" xfId="6975" xr:uid="{00000000-0005-0000-0000-0000FF0E0000}"/>
    <cellStyle name="Comma 2 2 11" xfId="6976" xr:uid="{00000000-0005-0000-0000-0000000F0000}"/>
    <cellStyle name="Comma 2 2 11 2" xfId="6977" xr:uid="{00000000-0005-0000-0000-0000010F0000}"/>
    <cellStyle name="Comma 2 2 12" xfId="6978" xr:uid="{00000000-0005-0000-0000-0000020F0000}"/>
    <cellStyle name="Comma 2 2 13" xfId="6979" xr:uid="{00000000-0005-0000-0000-0000030F0000}"/>
    <cellStyle name="Comma 2 2 14" xfId="51" xr:uid="{00000000-0005-0000-0000-0000040F0000}"/>
    <cellStyle name="Comma 2 2 2" xfId="3048" xr:uid="{00000000-0005-0000-0000-0000050F0000}"/>
    <cellStyle name="Comma 2 2 2 10" xfId="6980" xr:uid="{00000000-0005-0000-0000-0000060F0000}"/>
    <cellStyle name="Comma 2 2 2 11" xfId="6981" xr:uid="{00000000-0005-0000-0000-0000070F0000}"/>
    <cellStyle name="Comma 2 2 2 2" xfId="6982" xr:uid="{00000000-0005-0000-0000-0000080F0000}"/>
    <cellStyle name="Comma 2 2 2 2 2" xfId="6983" xr:uid="{00000000-0005-0000-0000-0000090F0000}"/>
    <cellStyle name="Comma 2 2 2 2 2 2" xfId="6984" xr:uid="{00000000-0005-0000-0000-00000A0F0000}"/>
    <cellStyle name="Comma 2 2 2 2 3" xfId="6985" xr:uid="{00000000-0005-0000-0000-00000B0F0000}"/>
    <cellStyle name="Comma 2 2 2 2 4" xfId="6986" xr:uid="{00000000-0005-0000-0000-00000C0F0000}"/>
    <cellStyle name="Comma 2 2 2 2 5" xfId="6987" xr:uid="{00000000-0005-0000-0000-00000D0F0000}"/>
    <cellStyle name="Comma 2 2 2 2 6" xfId="6988" xr:uid="{00000000-0005-0000-0000-00000E0F0000}"/>
    <cellStyle name="Comma 2 2 2 3" xfId="6989" xr:uid="{00000000-0005-0000-0000-00000F0F0000}"/>
    <cellStyle name="Comma 2 2 2 3 2" xfId="6990" xr:uid="{00000000-0005-0000-0000-0000100F0000}"/>
    <cellStyle name="Comma 2 2 2 3 2 2" xfId="6991" xr:uid="{00000000-0005-0000-0000-0000110F0000}"/>
    <cellStyle name="Comma 2 2 2 3 2 3" xfId="6992" xr:uid="{00000000-0005-0000-0000-0000120F0000}"/>
    <cellStyle name="Comma 2 2 2 3 3" xfId="6993" xr:uid="{00000000-0005-0000-0000-0000130F0000}"/>
    <cellStyle name="Comma 2 2 2 3 4" xfId="6994" xr:uid="{00000000-0005-0000-0000-0000140F0000}"/>
    <cellStyle name="Comma 2 2 2 3 5" xfId="6995" xr:uid="{00000000-0005-0000-0000-0000150F0000}"/>
    <cellStyle name="Comma 2 2 2 3 6" xfId="6996" xr:uid="{00000000-0005-0000-0000-0000160F0000}"/>
    <cellStyle name="Comma 2 2 2 3 7" xfId="6997" xr:uid="{00000000-0005-0000-0000-0000170F0000}"/>
    <cellStyle name="Comma 2 2 2 4" xfId="6998" xr:uid="{00000000-0005-0000-0000-0000180F0000}"/>
    <cellStyle name="Comma 2 2 2 4 2" xfId="6999" xr:uid="{00000000-0005-0000-0000-0000190F0000}"/>
    <cellStyle name="Comma 2 2 2 4 3" xfId="7000" xr:uid="{00000000-0005-0000-0000-00001A0F0000}"/>
    <cellStyle name="Comma 2 2 2 5" xfId="7001" xr:uid="{00000000-0005-0000-0000-00001B0F0000}"/>
    <cellStyle name="Comma 2 2 2 5 2" xfId="7002" xr:uid="{00000000-0005-0000-0000-00001C0F0000}"/>
    <cellStyle name="Comma 2 2 2 6" xfId="7003" xr:uid="{00000000-0005-0000-0000-00001D0F0000}"/>
    <cellStyle name="Comma 2 2 2 7" xfId="7004" xr:uid="{00000000-0005-0000-0000-00001E0F0000}"/>
    <cellStyle name="Comma 2 2 2 8" xfId="7005" xr:uid="{00000000-0005-0000-0000-00001F0F0000}"/>
    <cellStyle name="Comma 2 2 2 9" xfId="7006" xr:uid="{00000000-0005-0000-0000-0000200F0000}"/>
    <cellStyle name="Comma 2 2 3" xfId="7007" xr:uid="{00000000-0005-0000-0000-0000210F0000}"/>
    <cellStyle name="Comma 2 2 3 2" xfId="7008" xr:uid="{00000000-0005-0000-0000-0000220F0000}"/>
    <cellStyle name="Comma 2 2 3 3" xfId="7009" xr:uid="{00000000-0005-0000-0000-0000230F0000}"/>
    <cellStyle name="Comma 2 2 3 3 2" xfId="7010" xr:uid="{00000000-0005-0000-0000-0000240F0000}"/>
    <cellStyle name="Comma 2 2 3 3 3" xfId="7011" xr:uid="{00000000-0005-0000-0000-0000250F0000}"/>
    <cellStyle name="Comma 2 2 3 4" xfId="7012" xr:uid="{00000000-0005-0000-0000-0000260F0000}"/>
    <cellStyle name="Comma 2 2 3 5" xfId="7013" xr:uid="{00000000-0005-0000-0000-0000270F0000}"/>
    <cellStyle name="Comma 2 2 3 6" xfId="7014" xr:uid="{00000000-0005-0000-0000-0000280F0000}"/>
    <cellStyle name="Comma 2 2 3 7" xfId="7015" xr:uid="{00000000-0005-0000-0000-0000290F0000}"/>
    <cellStyle name="Comma 2 2 3 8" xfId="7016" xr:uid="{00000000-0005-0000-0000-00002A0F0000}"/>
    <cellStyle name="Comma 2 2 4" xfId="7017" xr:uid="{00000000-0005-0000-0000-00002B0F0000}"/>
    <cellStyle name="Comma 2 2 5" xfId="7018" xr:uid="{00000000-0005-0000-0000-00002C0F0000}"/>
    <cellStyle name="Comma 2 2 6" xfId="7019" xr:uid="{00000000-0005-0000-0000-00002D0F0000}"/>
    <cellStyle name="Comma 2 2 7" xfId="7020" xr:uid="{00000000-0005-0000-0000-00002E0F0000}"/>
    <cellStyle name="Comma 2 2 8" xfId="7021" xr:uid="{00000000-0005-0000-0000-00002F0F0000}"/>
    <cellStyle name="Comma 2 2 9" xfId="7022" xr:uid="{00000000-0005-0000-0000-0000300F0000}"/>
    <cellStyle name="Comma 2 20" xfId="7023" xr:uid="{00000000-0005-0000-0000-0000310F0000}"/>
    <cellStyle name="Comma 2 21" xfId="7024" xr:uid="{00000000-0005-0000-0000-0000320F0000}"/>
    <cellStyle name="Comma 2 22" xfId="7025" xr:uid="{00000000-0005-0000-0000-0000330F0000}"/>
    <cellStyle name="Comma 2 23" xfId="7026" xr:uid="{00000000-0005-0000-0000-0000340F0000}"/>
    <cellStyle name="Comma 2 24" xfId="7027" xr:uid="{00000000-0005-0000-0000-0000350F0000}"/>
    <cellStyle name="Comma 2 25" xfId="7028" xr:uid="{00000000-0005-0000-0000-0000360F0000}"/>
    <cellStyle name="Comma 2 3" xfId="20" xr:uid="{00000000-0005-0000-0000-0000370F0000}"/>
    <cellStyle name="Comma 2 3 10" xfId="7029" xr:uid="{00000000-0005-0000-0000-0000380F0000}"/>
    <cellStyle name="Comma 2 3 11" xfId="7030" xr:uid="{00000000-0005-0000-0000-0000390F0000}"/>
    <cellStyle name="Comma 2 3 11 2" xfId="7031" xr:uid="{00000000-0005-0000-0000-00003A0F0000}"/>
    <cellStyle name="Comma 2 3 12" xfId="7032" xr:uid="{00000000-0005-0000-0000-00003B0F0000}"/>
    <cellStyle name="Comma 2 3 13" xfId="7033" xr:uid="{00000000-0005-0000-0000-00003C0F0000}"/>
    <cellStyle name="Comma 2 3 14" xfId="7034" xr:uid="{00000000-0005-0000-0000-00003D0F0000}"/>
    <cellStyle name="Comma 2 3 15" xfId="3049" xr:uid="{00000000-0005-0000-0000-00003E0F0000}"/>
    <cellStyle name="Comma 2 3 2" xfId="3050" xr:uid="{00000000-0005-0000-0000-00003F0F0000}"/>
    <cellStyle name="Comma 2 3 2 2" xfId="7035" xr:uid="{00000000-0005-0000-0000-0000400F0000}"/>
    <cellStyle name="Comma 2 3 3" xfId="7036" xr:uid="{00000000-0005-0000-0000-0000410F0000}"/>
    <cellStyle name="Comma 2 3 4" xfId="7037" xr:uid="{00000000-0005-0000-0000-0000420F0000}"/>
    <cellStyle name="Comma 2 3 5" xfId="7038" xr:uid="{00000000-0005-0000-0000-0000430F0000}"/>
    <cellStyle name="Comma 2 3 6" xfId="7039" xr:uid="{00000000-0005-0000-0000-0000440F0000}"/>
    <cellStyle name="Comma 2 3 7" xfId="7040" xr:uid="{00000000-0005-0000-0000-0000450F0000}"/>
    <cellStyle name="Comma 2 3 8" xfId="7041" xr:uid="{00000000-0005-0000-0000-0000460F0000}"/>
    <cellStyle name="Comma 2 3 9" xfId="7042" xr:uid="{00000000-0005-0000-0000-0000470F0000}"/>
    <cellStyle name="Comma 2 4" xfId="22" xr:uid="{00000000-0005-0000-0000-0000480F0000}"/>
    <cellStyle name="Comma 2 4 10" xfId="7043" xr:uid="{00000000-0005-0000-0000-0000490F0000}"/>
    <cellStyle name="Comma 2 4 11" xfId="7044" xr:uid="{00000000-0005-0000-0000-00004A0F0000}"/>
    <cellStyle name="Comma 2 4 11 2" xfId="7045" xr:uid="{00000000-0005-0000-0000-00004B0F0000}"/>
    <cellStyle name="Comma 2 4 12" xfId="7046" xr:uid="{00000000-0005-0000-0000-00004C0F0000}"/>
    <cellStyle name="Comma 2 4 13" xfId="7047" xr:uid="{00000000-0005-0000-0000-00004D0F0000}"/>
    <cellStyle name="Comma 2 4 2" xfId="29" xr:uid="{00000000-0005-0000-0000-00004E0F0000}"/>
    <cellStyle name="Comma 2 4 2 2" xfId="7048" xr:uid="{00000000-0005-0000-0000-00004F0F0000}"/>
    <cellStyle name="Comma 2 4 2 3" xfId="7049" xr:uid="{00000000-0005-0000-0000-0000500F0000}"/>
    <cellStyle name="Comma 2 4 3" xfId="7050" xr:uid="{00000000-0005-0000-0000-0000510F0000}"/>
    <cellStyle name="Comma 2 4 4" xfId="7051" xr:uid="{00000000-0005-0000-0000-0000520F0000}"/>
    <cellStyle name="Comma 2 4 5" xfId="7052" xr:uid="{00000000-0005-0000-0000-0000530F0000}"/>
    <cellStyle name="Comma 2 4 6" xfId="7053" xr:uid="{00000000-0005-0000-0000-0000540F0000}"/>
    <cellStyle name="Comma 2 4 7" xfId="7054" xr:uid="{00000000-0005-0000-0000-0000550F0000}"/>
    <cellStyle name="Comma 2 4 8" xfId="7055" xr:uid="{00000000-0005-0000-0000-0000560F0000}"/>
    <cellStyle name="Comma 2 4 9" xfId="7056" xr:uid="{00000000-0005-0000-0000-0000570F0000}"/>
    <cellStyle name="Comma 2 5" xfId="7057" xr:uid="{00000000-0005-0000-0000-0000580F0000}"/>
    <cellStyle name="Comma 2 5 2" xfId="7058" xr:uid="{00000000-0005-0000-0000-0000590F0000}"/>
    <cellStyle name="Comma 2 6" xfId="7059" xr:uid="{00000000-0005-0000-0000-00005A0F0000}"/>
    <cellStyle name="Comma 2 6 2" xfId="7060" xr:uid="{00000000-0005-0000-0000-00005B0F0000}"/>
    <cellStyle name="Comma 2 6 3" xfId="7061" xr:uid="{00000000-0005-0000-0000-00005C0F0000}"/>
    <cellStyle name="Comma 2 6 4" xfId="7062" xr:uid="{00000000-0005-0000-0000-00005D0F0000}"/>
    <cellStyle name="Comma 2 7" xfId="7063" xr:uid="{00000000-0005-0000-0000-00005E0F0000}"/>
    <cellStyle name="Comma 2 8" xfId="7064" xr:uid="{00000000-0005-0000-0000-00005F0F0000}"/>
    <cellStyle name="Comma 2 9" xfId="7065" xr:uid="{00000000-0005-0000-0000-0000600F0000}"/>
    <cellStyle name="Comma 20" xfId="7066" xr:uid="{00000000-0005-0000-0000-0000610F0000}"/>
    <cellStyle name="Comma 21" xfId="7067" xr:uid="{00000000-0005-0000-0000-0000620F0000}"/>
    <cellStyle name="Comma 22" xfId="7068" xr:uid="{00000000-0005-0000-0000-0000630F0000}"/>
    <cellStyle name="Comma 23" xfId="7069" xr:uid="{00000000-0005-0000-0000-0000640F0000}"/>
    <cellStyle name="Comma 24" xfId="7070" xr:uid="{00000000-0005-0000-0000-0000650F0000}"/>
    <cellStyle name="Comma 25" xfId="7071" xr:uid="{00000000-0005-0000-0000-0000660F0000}"/>
    <cellStyle name="Comma 26" xfId="7072" xr:uid="{00000000-0005-0000-0000-0000670F0000}"/>
    <cellStyle name="Comma 27" xfId="7073" xr:uid="{00000000-0005-0000-0000-0000680F0000}"/>
    <cellStyle name="Comma 28" xfId="7074" xr:uid="{00000000-0005-0000-0000-0000690F0000}"/>
    <cellStyle name="Comma 29" xfId="7075" xr:uid="{00000000-0005-0000-0000-00006A0F0000}"/>
    <cellStyle name="Comma 3" xfId="3" xr:uid="{00000000-0005-0000-0000-00006B0F0000}"/>
    <cellStyle name="Comma 3 10" xfId="37" xr:uid="{00000000-0005-0000-0000-00006C0F0000}"/>
    <cellStyle name="Comma 3 2" xfId="3051" xr:uid="{00000000-0005-0000-0000-00006D0F0000}"/>
    <cellStyle name="Comma 3 2 2" xfId="3052" xr:uid="{00000000-0005-0000-0000-00006E0F0000}"/>
    <cellStyle name="Comma 3 2 2 2" xfId="7076" xr:uid="{00000000-0005-0000-0000-00006F0F0000}"/>
    <cellStyle name="Comma 3 2 2 3" xfId="7077" xr:uid="{00000000-0005-0000-0000-0000700F0000}"/>
    <cellStyle name="Comma 3 2 3" xfId="3053" xr:uid="{00000000-0005-0000-0000-0000710F0000}"/>
    <cellStyle name="Comma 3 2 3 2" xfId="7078" xr:uid="{00000000-0005-0000-0000-0000720F0000}"/>
    <cellStyle name="Comma 3 2 4" xfId="7079" xr:uid="{00000000-0005-0000-0000-0000730F0000}"/>
    <cellStyle name="Comma 3 3" xfId="3054" xr:uid="{00000000-0005-0000-0000-0000740F0000}"/>
    <cellStyle name="Comma 3 3 2" xfId="3055" xr:uid="{00000000-0005-0000-0000-0000750F0000}"/>
    <cellStyle name="Comma 3 3 2 2" xfId="7080" xr:uid="{00000000-0005-0000-0000-0000760F0000}"/>
    <cellStyle name="Comma 3 3 2 3" xfId="7081" xr:uid="{00000000-0005-0000-0000-0000770F0000}"/>
    <cellStyle name="Comma 3 3 3" xfId="7082" xr:uid="{00000000-0005-0000-0000-0000780F0000}"/>
    <cellStyle name="Comma 3 3 4" xfId="7083" xr:uid="{00000000-0005-0000-0000-0000790F0000}"/>
    <cellStyle name="Comma 3 4" xfId="3056" xr:uid="{00000000-0005-0000-0000-00007A0F0000}"/>
    <cellStyle name="Comma 3 4 2" xfId="3057" xr:uid="{00000000-0005-0000-0000-00007B0F0000}"/>
    <cellStyle name="Comma 3 4 3" xfId="7084" xr:uid="{00000000-0005-0000-0000-00007C0F0000}"/>
    <cellStyle name="Comma 3 5" xfId="3058" xr:uid="{00000000-0005-0000-0000-00007D0F0000}"/>
    <cellStyle name="Comma 3 5 2" xfId="3059" xr:uid="{00000000-0005-0000-0000-00007E0F0000}"/>
    <cellStyle name="Comma 3 6" xfId="3060" xr:uid="{00000000-0005-0000-0000-00007F0F0000}"/>
    <cellStyle name="Comma 3 6 2" xfId="7085" xr:uid="{00000000-0005-0000-0000-0000800F0000}"/>
    <cellStyle name="Comma 3 7" xfId="7086" xr:uid="{00000000-0005-0000-0000-0000810F0000}"/>
    <cellStyle name="Comma 3 8" xfId="7087" xr:uid="{00000000-0005-0000-0000-0000820F0000}"/>
    <cellStyle name="Comma 3 9" xfId="7088" xr:uid="{00000000-0005-0000-0000-0000830F0000}"/>
    <cellStyle name="Comma 30" xfId="7089" xr:uid="{00000000-0005-0000-0000-0000840F0000}"/>
    <cellStyle name="Comma 31" xfId="16883" xr:uid="{00000000-0005-0000-0000-0000850F0000}"/>
    <cellStyle name="Comma 4" xfId="9" xr:uid="{00000000-0005-0000-0000-0000860F0000}"/>
    <cellStyle name="Comma 4 2" xfId="16" xr:uid="{00000000-0005-0000-0000-0000870F0000}"/>
    <cellStyle name="Comma 4 2 2" xfId="7090" xr:uid="{00000000-0005-0000-0000-0000880F0000}"/>
    <cellStyle name="Comma 4 2 2 2" xfId="7091" xr:uid="{00000000-0005-0000-0000-0000890F0000}"/>
    <cellStyle name="Comma 4 3" xfId="33" xr:uid="{00000000-0005-0000-0000-00008A0F0000}"/>
    <cellStyle name="Comma 4 3 2" xfId="7093" xr:uid="{00000000-0005-0000-0000-00008B0F0000}"/>
    <cellStyle name="Comma 4 3 3" xfId="7092" xr:uid="{00000000-0005-0000-0000-00008C0F0000}"/>
    <cellStyle name="Comma 4 4" xfId="7094" xr:uid="{00000000-0005-0000-0000-00008D0F0000}"/>
    <cellStyle name="Comma 4 4 2" xfId="7095" xr:uid="{00000000-0005-0000-0000-00008E0F0000}"/>
    <cellStyle name="Comma 4 5" xfId="7096" xr:uid="{00000000-0005-0000-0000-00008F0F0000}"/>
    <cellStyle name="Comma 4 6" xfId="7097" xr:uid="{00000000-0005-0000-0000-0000900F0000}"/>
    <cellStyle name="Comma 4 6 2" xfId="7098" xr:uid="{00000000-0005-0000-0000-0000910F0000}"/>
    <cellStyle name="Comma 4 7" xfId="7099" xr:uid="{00000000-0005-0000-0000-0000920F0000}"/>
    <cellStyle name="Comma 4 8" xfId="3061" xr:uid="{00000000-0005-0000-0000-0000930F0000}"/>
    <cellStyle name="Comma 5" xfId="11" xr:uid="{00000000-0005-0000-0000-0000940F0000}"/>
    <cellStyle name="Comma 5 2" xfId="24" xr:uid="{00000000-0005-0000-0000-0000950F0000}"/>
    <cellStyle name="Comma 5 2 2" xfId="7100" xr:uid="{00000000-0005-0000-0000-0000960F0000}"/>
    <cellStyle name="Comma 5 2 2 2" xfId="7101" xr:uid="{00000000-0005-0000-0000-0000970F0000}"/>
    <cellStyle name="Comma 5 2 2 2 2" xfId="7102" xr:uid="{00000000-0005-0000-0000-0000980F0000}"/>
    <cellStyle name="Comma 5 2 2 2 2 2" xfId="7103" xr:uid="{00000000-0005-0000-0000-0000990F0000}"/>
    <cellStyle name="Comma 5 2 2 2 3" xfId="7104" xr:uid="{00000000-0005-0000-0000-00009A0F0000}"/>
    <cellStyle name="Comma 5 2 2 3" xfId="7105" xr:uid="{00000000-0005-0000-0000-00009B0F0000}"/>
    <cellStyle name="Comma 5 2 2 3 2" xfId="7106" xr:uid="{00000000-0005-0000-0000-00009C0F0000}"/>
    <cellStyle name="Comma 5 2 2 4" xfId="7107" xr:uid="{00000000-0005-0000-0000-00009D0F0000}"/>
    <cellStyle name="Comma 5 2 2 5" xfId="7108" xr:uid="{00000000-0005-0000-0000-00009E0F0000}"/>
    <cellStyle name="Comma 5 2 3" xfId="7109" xr:uid="{00000000-0005-0000-0000-00009F0F0000}"/>
    <cellStyle name="Comma 5 2 3 2" xfId="7110" xr:uid="{00000000-0005-0000-0000-0000A00F0000}"/>
    <cellStyle name="Comma 5 2 3 2 2" xfId="7111" xr:uid="{00000000-0005-0000-0000-0000A10F0000}"/>
    <cellStyle name="Comma 5 2 3 3" xfId="7112" xr:uid="{00000000-0005-0000-0000-0000A20F0000}"/>
    <cellStyle name="Comma 5 2 4" xfId="7113" xr:uid="{00000000-0005-0000-0000-0000A30F0000}"/>
    <cellStyle name="Comma 5 2 4 2" xfId="7114" xr:uid="{00000000-0005-0000-0000-0000A40F0000}"/>
    <cellStyle name="Comma 5 2 5" xfId="7115" xr:uid="{00000000-0005-0000-0000-0000A50F0000}"/>
    <cellStyle name="Comma 5 2 6" xfId="7116" xr:uid="{00000000-0005-0000-0000-0000A60F0000}"/>
    <cellStyle name="Comma 5 2 7" xfId="3063" xr:uid="{00000000-0005-0000-0000-0000A70F0000}"/>
    <cellStyle name="Comma 5 3" xfId="7117" xr:uid="{00000000-0005-0000-0000-0000A80F0000}"/>
    <cellStyle name="Comma 5 3 2" xfId="7118" xr:uid="{00000000-0005-0000-0000-0000A90F0000}"/>
    <cellStyle name="Comma 5 3 2 2" xfId="7119" xr:uid="{00000000-0005-0000-0000-0000AA0F0000}"/>
    <cellStyle name="Comma 5 3 2 2 2" xfId="7120" xr:uid="{00000000-0005-0000-0000-0000AB0F0000}"/>
    <cellStyle name="Comma 5 3 2 2 2 2" xfId="7121" xr:uid="{00000000-0005-0000-0000-0000AC0F0000}"/>
    <cellStyle name="Comma 5 3 2 2 3" xfId="7122" xr:uid="{00000000-0005-0000-0000-0000AD0F0000}"/>
    <cellStyle name="Comma 5 3 2 3" xfId="7123" xr:uid="{00000000-0005-0000-0000-0000AE0F0000}"/>
    <cellStyle name="Comma 5 3 2 3 2" xfId="7124" xr:uid="{00000000-0005-0000-0000-0000AF0F0000}"/>
    <cellStyle name="Comma 5 3 2 4" xfId="7125" xr:uid="{00000000-0005-0000-0000-0000B00F0000}"/>
    <cellStyle name="Comma 5 3 3" xfId="7126" xr:uid="{00000000-0005-0000-0000-0000B10F0000}"/>
    <cellStyle name="Comma 5 3 3 2" xfId="7127" xr:uid="{00000000-0005-0000-0000-0000B20F0000}"/>
    <cellStyle name="Comma 5 3 3 2 2" xfId="7128" xr:uid="{00000000-0005-0000-0000-0000B30F0000}"/>
    <cellStyle name="Comma 5 3 3 3" xfId="7129" xr:uid="{00000000-0005-0000-0000-0000B40F0000}"/>
    <cellStyle name="Comma 5 3 4" xfId="7130" xr:uid="{00000000-0005-0000-0000-0000B50F0000}"/>
    <cellStyle name="Comma 5 3 4 2" xfId="7131" xr:uid="{00000000-0005-0000-0000-0000B60F0000}"/>
    <cellStyle name="Comma 5 3 5" xfId="7132" xr:uid="{00000000-0005-0000-0000-0000B70F0000}"/>
    <cellStyle name="Comma 5 3 6" xfId="7133" xr:uid="{00000000-0005-0000-0000-0000B80F0000}"/>
    <cellStyle name="Comma 5 4" xfId="7134" xr:uid="{00000000-0005-0000-0000-0000B90F0000}"/>
    <cellStyle name="Comma 5 4 2" xfId="7135" xr:uid="{00000000-0005-0000-0000-0000BA0F0000}"/>
    <cellStyle name="Comma 5 4 3" xfId="7136" xr:uid="{00000000-0005-0000-0000-0000BB0F0000}"/>
    <cellStyle name="Comma 5 5" xfId="7137" xr:uid="{00000000-0005-0000-0000-0000BC0F0000}"/>
    <cellStyle name="Comma 5 5 2" xfId="7138" xr:uid="{00000000-0005-0000-0000-0000BD0F0000}"/>
    <cellStyle name="Comma 5 6" xfId="7139" xr:uid="{00000000-0005-0000-0000-0000BE0F0000}"/>
    <cellStyle name="Comma 5 7" xfId="3062" xr:uid="{00000000-0005-0000-0000-0000BF0F0000}"/>
    <cellStyle name="Comma 6" xfId="3064" xr:uid="{00000000-0005-0000-0000-0000C00F0000}"/>
    <cellStyle name="Comma 6 2" xfId="7140" xr:uid="{00000000-0005-0000-0000-0000C10F0000}"/>
    <cellStyle name="Comma 6 2 2" xfId="7141" xr:uid="{00000000-0005-0000-0000-0000C20F0000}"/>
    <cellStyle name="Comma 6 2 2 2" xfId="7142" xr:uid="{00000000-0005-0000-0000-0000C30F0000}"/>
    <cellStyle name="Comma 6 2 2 2 2" xfId="7143" xr:uid="{00000000-0005-0000-0000-0000C40F0000}"/>
    <cellStyle name="Comma 6 2 2 2 2 2" xfId="7144" xr:uid="{00000000-0005-0000-0000-0000C50F0000}"/>
    <cellStyle name="Comma 6 2 2 2 3" xfId="7145" xr:uid="{00000000-0005-0000-0000-0000C60F0000}"/>
    <cellStyle name="Comma 6 2 2 3" xfId="7146" xr:uid="{00000000-0005-0000-0000-0000C70F0000}"/>
    <cellStyle name="Comma 6 2 2 3 2" xfId="7147" xr:uid="{00000000-0005-0000-0000-0000C80F0000}"/>
    <cellStyle name="Comma 6 2 2 4" xfId="7148" xr:uid="{00000000-0005-0000-0000-0000C90F0000}"/>
    <cellStyle name="Comma 6 2 2 5" xfId="7149" xr:uid="{00000000-0005-0000-0000-0000CA0F0000}"/>
    <cellStyle name="Comma 6 2 3" xfId="7150" xr:uid="{00000000-0005-0000-0000-0000CB0F0000}"/>
    <cellStyle name="Comma 6 2 3 2" xfId="7151" xr:uid="{00000000-0005-0000-0000-0000CC0F0000}"/>
    <cellStyle name="Comma 6 2 3 2 2" xfId="7152" xr:uid="{00000000-0005-0000-0000-0000CD0F0000}"/>
    <cellStyle name="Comma 6 2 3 3" xfId="7153" xr:uid="{00000000-0005-0000-0000-0000CE0F0000}"/>
    <cellStyle name="Comma 6 2 4" xfId="7154" xr:uid="{00000000-0005-0000-0000-0000CF0F0000}"/>
    <cellStyle name="Comma 6 2 4 2" xfId="7155" xr:uid="{00000000-0005-0000-0000-0000D00F0000}"/>
    <cellStyle name="Comma 6 2 5" xfId="7156" xr:uid="{00000000-0005-0000-0000-0000D10F0000}"/>
    <cellStyle name="Comma 6 2 6" xfId="7157" xr:uid="{00000000-0005-0000-0000-0000D20F0000}"/>
    <cellStyle name="Comma 6 3" xfId="7158" xr:uid="{00000000-0005-0000-0000-0000D30F0000}"/>
    <cellStyle name="Comma 6 3 2" xfId="7159" xr:uid="{00000000-0005-0000-0000-0000D40F0000}"/>
    <cellStyle name="Comma 6 3 2 2" xfId="7160" xr:uid="{00000000-0005-0000-0000-0000D50F0000}"/>
    <cellStyle name="Comma 6 3 2 2 2" xfId="7161" xr:uid="{00000000-0005-0000-0000-0000D60F0000}"/>
    <cellStyle name="Comma 6 3 2 3" xfId="7162" xr:uid="{00000000-0005-0000-0000-0000D70F0000}"/>
    <cellStyle name="Comma 6 3 2 4" xfId="7163" xr:uid="{00000000-0005-0000-0000-0000D80F0000}"/>
    <cellStyle name="Comma 6 3 3" xfId="7164" xr:uid="{00000000-0005-0000-0000-0000D90F0000}"/>
    <cellStyle name="Comma 6 3 3 2" xfId="7165" xr:uid="{00000000-0005-0000-0000-0000DA0F0000}"/>
    <cellStyle name="Comma 6 3 4" xfId="7166" xr:uid="{00000000-0005-0000-0000-0000DB0F0000}"/>
    <cellStyle name="Comma 6 3 5" xfId="7167" xr:uid="{00000000-0005-0000-0000-0000DC0F0000}"/>
    <cellStyle name="Comma 6 4" xfId="7168" xr:uid="{00000000-0005-0000-0000-0000DD0F0000}"/>
    <cellStyle name="Comma 6 4 2" xfId="7169" xr:uid="{00000000-0005-0000-0000-0000DE0F0000}"/>
    <cellStyle name="Comma 6 4 2 2" xfId="7170" xr:uid="{00000000-0005-0000-0000-0000DF0F0000}"/>
    <cellStyle name="Comma 6 4 3" xfId="7171" xr:uid="{00000000-0005-0000-0000-0000E00F0000}"/>
    <cellStyle name="Comma 6 4 4" xfId="7172" xr:uid="{00000000-0005-0000-0000-0000E10F0000}"/>
    <cellStyle name="Comma 6 5" xfId="7173" xr:uid="{00000000-0005-0000-0000-0000E20F0000}"/>
    <cellStyle name="Comma 6 5 2" xfId="7174" xr:uid="{00000000-0005-0000-0000-0000E30F0000}"/>
    <cellStyle name="Comma 6 6" xfId="7175" xr:uid="{00000000-0005-0000-0000-0000E40F0000}"/>
    <cellStyle name="Comma 7" xfId="3065" xr:uid="{00000000-0005-0000-0000-0000E50F0000}"/>
    <cellStyle name="Comma 7 2" xfId="7176" xr:uid="{00000000-0005-0000-0000-0000E60F0000}"/>
    <cellStyle name="Comma 7 2 2" xfId="7177" xr:uid="{00000000-0005-0000-0000-0000E70F0000}"/>
    <cellStyle name="Comma 7 2 2 2" xfId="7178" xr:uid="{00000000-0005-0000-0000-0000E80F0000}"/>
    <cellStyle name="Comma 7 2 2 2 2" xfId="7179" xr:uid="{00000000-0005-0000-0000-0000E90F0000}"/>
    <cellStyle name="Comma 7 2 2 3" xfId="7180" xr:uid="{00000000-0005-0000-0000-0000EA0F0000}"/>
    <cellStyle name="Comma 7 2 2 4" xfId="7181" xr:uid="{00000000-0005-0000-0000-0000EB0F0000}"/>
    <cellStyle name="Comma 7 2 3" xfId="7182" xr:uid="{00000000-0005-0000-0000-0000EC0F0000}"/>
    <cellStyle name="Comma 7 2 3 2" xfId="7183" xr:uid="{00000000-0005-0000-0000-0000ED0F0000}"/>
    <cellStyle name="Comma 7 2 4" xfId="7184" xr:uid="{00000000-0005-0000-0000-0000EE0F0000}"/>
    <cellStyle name="Comma 7 2 4 2" xfId="7185" xr:uid="{00000000-0005-0000-0000-0000EF0F0000}"/>
    <cellStyle name="Comma 7 2 5" xfId="7186" xr:uid="{00000000-0005-0000-0000-0000F00F0000}"/>
    <cellStyle name="Comma 7 2 5 2" xfId="7187" xr:uid="{00000000-0005-0000-0000-0000F10F0000}"/>
    <cellStyle name="Comma 7 2 6" xfId="7188" xr:uid="{00000000-0005-0000-0000-0000F20F0000}"/>
    <cellStyle name="Comma 7 2 7" xfId="7189" xr:uid="{00000000-0005-0000-0000-0000F30F0000}"/>
    <cellStyle name="Comma 7 2 8" xfId="7190" xr:uid="{00000000-0005-0000-0000-0000F40F0000}"/>
    <cellStyle name="Comma 7 2 9" xfId="7191" xr:uid="{00000000-0005-0000-0000-0000F50F0000}"/>
    <cellStyle name="Comma 7 3" xfId="7192" xr:uid="{00000000-0005-0000-0000-0000F60F0000}"/>
    <cellStyle name="Comma 7 3 2" xfId="7193" xr:uid="{00000000-0005-0000-0000-0000F70F0000}"/>
    <cellStyle name="Comma 7 3 2 2" xfId="7194" xr:uid="{00000000-0005-0000-0000-0000F80F0000}"/>
    <cellStyle name="Comma 7 3 2 3" xfId="7195" xr:uid="{00000000-0005-0000-0000-0000F90F0000}"/>
    <cellStyle name="Comma 7 3 3" xfId="7196" xr:uid="{00000000-0005-0000-0000-0000FA0F0000}"/>
    <cellStyle name="Comma 7 3 4" xfId="7197" xr:uid="{00000000-0005-0000-0000-0000FB0F0000}"/>
    <cellStyle name="Comma 7 3 5" xfId="7198" xr:uid="{00000000-0005-0000-0000-0000FC0F0000}"/>
    <cellStyle name="Comma 7 3 6" xfId="7199" xr:uid="{00000000-0005-0000-0000-0000FD0F0000}"/>
    <cellStyle name="Comma 7 4" xfId="7200" xr:uid="{00000000-0005-0000-0000-0000FE0F0000}"/>
    <cellStyle name="Comma 7 4 2" xfId="7201" xr:uid="{00000000-0005-0000-0000-0000FF0F0000}"/>
    <cellStyle name="Comma 7 4 3" xfId="7202" xr:uid="{00000000-0005-0000-0000-000000100000}"/>
    <cellStyle name="Comma 7 4 4" xfId="7203" xr:uid="{00000000-0005-0000-0000-000001100000}"/>
    <cellStyle name="Comma 7 5" xfId="7204" xr:uid="{00000000-0005-0000-0000-000002100000}"/>
    <cellStyle name="Comma 7 6" xfId="7205" xr:uid="{00000000-0005-0000-0000-000003100000}"/>
    <cellStyle name="Comma 7 7" xfId="7206" xr:uid="{00000000-0005-0000-0000-000004100000}"/>
    <cellStyle name="Comma 8" xfId="3066" xr:uid="{00000000-0005-0000-0000-000005100000}"/>
    <cellStyle name="Comma 8 2" xfId="7207" xr:uid="{00000000-0005-0000-0000-000006100000}"/>
    <cellStyle name="Comma 8 2 2" xfId="7208" xr:uid="{00000000-0005-0000-0000-000007100000}"/>
    <cellStyle name="Comma 8 2 2 2" xfId="7209" xr:uid="{00000000-0005-0000-0000-000008100000}"/>
    <cellStyle name="Comma 8 2 2 2 2" xfId="7210" xr:uid="{00000000-0005-0000-0000-000009100000}"/>
    <cellStyle name="Comma 8 2 2 2 2 2" xfId="7211" xr:uid="{00000000-0005-0000-0000-00000A100000}"/>
    <cellStyle name="Comma 8 2 2 2 3" xfId="7212" xr:uid="{00000000-0005-0000-0000-00000B100000}"/>
    <cellStyle name="Comma 8 2 2 3" xfId="7213" xr:uid="{00000000-0005-0000-0000-00000C100000}"/>
    <cellStyle name="Comma 8 2 2 3 2" xfId="7214" xr:uid="{00000000-0005-0000-0000-00000D100000}"/>
    <cellStyle name="Comma 8 2 2 4" xfId="7215" xr:uid="{00000000-0005-0000-0000-00000E100000}"/>
    <cellStyle name="Comma 8 2 3" xfId="7216" xr:uid="{00000000-0005-0000-0000-00000F100000}"/>
    <cellStyle name="Comma 8 2 3 2" xfId="7217" xr:uid="{00000000-0005-0000-0000-000010100000}"/>
    <cellStyle name="Comma 8 2 3 2 2" xfId="7218" xr:uid="{00000000-0005-0000-0000-000011100000}"/>
    <cellStyle name="Comma 8 2 3 3" xfId="7219" xr:uid="{00000000-0005-0000-0000-000012100000}"/>
    <cellStyle name="Comma 8 2 3 4" xfId="7220" xr:uid="{00000000-0005-0000-0000-000013100000}"/>
    <cellStyle name="Comma 8 2 4" xfId="7221" xr:uid="{00000000-0005-0000-0000-000014100000}"/>
    <cellStyle name="Comma 8 2 4 2" xfId="7222" xr:uid="{00000000-0005-0000-0000-000015100000}"/>
    <cellStyle name="Comma 8 2 5" xfId="7223" xr:uid="{00000000-0005-0000-0000-000016100000}"/>
    <cellStyle name="Comma 8 3" xfId="7224" xr:uid="{00000000-0005-0000-0000-000017100000}"/>
    <cellStyle name="Comma 8 3 2" xfId="7225" xr:uid="{00000000-0005-0000-0000-000018100000}"/>
    <cellStyle name="Comma 8 3 2 2" xfId="7226" xr:uid="{00000000-0005-0000-0000-000019100000}"/>
    <cellStyle name="Comma 8 3 2 3" xfId="7227" xr:uid="{00000000-0005-0000-0000-00001A100000}"/>
    <cellStyle name="Comma 8 3 3" xfId="7228" xr:uid="{00000000-0005-0000-0000-00001B100000}"/>
    <cellStyle name="Comma 8 3 3 2" xfId="7229" xr:uid="{00000000-0005-0000-0000-00001C100000}"/>
    <cellStyle name="Comma 8 3 4" xfId="7230" xr:uid="{00000000-0005-0000-0000-00001D100000}"/>
    <cellStyle name="Comma 8 4" xfId="7231" xr:uid="{00000000-0005-0000-0000-00001E100000}"/>
    <cellStyle name="Comma 8 4 2" xfId="7232" xr:uid="{00000000-0005-0000-0000-00001F100000}"/>
    <cellStyle name="Comma 8 4 2 2" xfId="7233" xr:uid="{00000000-0005-0000-0000-000020100000}"/>
    <cellStyle name="Comma 8 4 3" xfId="7234" xr:uid="{00000000-0005-0000-0000-000021100000}"/>
    <cellStyle name="Comma 8 5" xfId="7235" xr:uid="{00000000-0005-0000-0000-000022100000}"/>
    <cellStyle name="Comma 8 5 2" xfId="7236" xr:uid="{00000000-0005-0000-0000-000023100000}"/>
    <cellStyle name="Comma 8 6" xfId="7237" xr:uid="{00000000-0005-0000-0000-000024100000}"/>
    <cellStyle name="Comma 8 6 2" xfId="7238" xr:uid="{00000000-0005-0000-0000-000025100000}"/>
    <cellStyle name="Comma 8 7" xfId="7239" xr:uid="{00000000-0005-0000-0000-000026100000}"/>
    <cellStyle name="Comma 8 8" xfId="7240" xr:uid="{00000000-0005-0000-0000-000027100000}"/>
    <cellStyle name="Comma 8 9" xfId="7241" xr:uid="{00000000-0005-0000-0000-000028100000}"/>
    <cellStyle name="Comma 9" xfId="3067" xr:uid="{00000000-0005-0000-0000-000029100000}"/>
    <cellStyle name="Comma 9 2" xfId="7242" xr:uid="{00000000-0005-0000-0000-00002A100000}"/>
    <cellStyle name="Comma 9 2 2" xfId="7243" xr:uid="{00000000-0005-0000-0000-00002B100000}"/>
    <cellStyle name="Comma 9 2 3" xfId="7244" xr:uid="{00000000-0005-0000-0000-00002C100000}"/>
    <cellStyle name="Comma 9 3" xfId="7245" xr:uid="{00000000-0005-0000-0000-00002D100000}"/>
    <cellStyle name="Comma 9 3 2" xfId="7246" xr:uid="{00000000-0005-0000-0000-00002E100000}"/>
    <cellStyle name="Comma 9 4" xfId="7247" xr:uid="{00000000-0005-0000-0000-00002F100000}"/>
    <cellStyle name="Comma0" xfId="7248" xr:uid="{00000000-0005-0000-0000-000030100000}"/>
    <cellStyle name="Comma0 - Modelo1" xfId="7249" xr:uid="{00000000-0005-0000-0000-000031100000}"/>
    <cellStyle name="Comma0 - Style1" xfId="7250" xr:uid="{00000000-0005-0000-0000-000032100000}"/>
    <cellStyle name="Comma0 10" xfId="7251" xr:uid="{00000000-0005-0000-0000-000033100000}"/>
    <cellStyle name="Comma0 11" xfId="7252" xr:uid="{00000000-0005-0000-0000-000034100000}"/>
    <cellStyle name="Comma0 12" xfId="7253" xr:uid="{00000000-0005-0000-0000-000035100000}"/>
    <cellStyle name="Comma0 13" xfId="7254" xr:uid="{00000000-0005-0000-0000-000036100000}"/>
    <cellStyle name="Comma0 14" xfId="7255" xr:uid="{00000000-0005-0000-0000-000037100000}"/>
    <cellStyle name="Comma0 15" xfId="7256" xr:uid="{00000000-0005-0000-0000-000038100000}"/>
    <cellStyle name="Comma0 16" xfId="7257" xr:uid="{00000000-0005-0000-0000-000039100000}"/>
    <cellStyle name="Comma0 17" xfId="7258" xr:uid="{00000000-0005-0000-0000-00003A100000}"/>
    <cellStyle name="Comma0 18" xfId="7259" xr:uid="{00000000-0005-0000-0000-00003B100000}"/>
    <cellStyle name="Comma0 19" xfId="7260" xr:uid="{00000000-0005-0000-0000-00003C100000}"/>
    <cellStyle name="Comma0 2" xfId="7261" xr:uid="{00000000-0005-0000-0000-00003D100000}"/>
    <cellStyle name="Comma0 20" xfId="7262" xr:uid="{00000000-0005-0000-0000-00003E100000}"/>
    <cellStyle name="Comma0 21" xfId="7263" xr:uid="{00000000-0005-0000-0000-00003F100000}"/>
    <cellStyle name="Comma0 22" xfId="7264" xr:uid="{00000000-0005-0000-0000-000040100000}"/>
    <cellStyle name="Comma0 23" xfId="7265" xr:uid="{00000000-0005-0000-0000-000041100000}"/>
    <cellStyle name="Comma0 24" xfId="7266" xr:uid="{00000000-0005-0000-0000-000042100000}"/>
    <cellStyle name="Comma0 25" xfId="7267" xr:uid="{00000000-0005-0000-0000-000043100000}"/>
    <cellStyle name="Comma0 26" xfId="7268" xr:uid="{00000000-0005-0000-0000-000044100000}"/>
    <cellStyle name="Comma0 27" xfId="7269" xr:uid="{00000000-0005-0000-0000-000045100000}"/>
    <cellStyle name="Comma0 28" xfId="7270" xr:uid="{00000000-0005-0000-0000-000046100000}"/>
    <cellStyle name="Comma0 29" xfId="7271" xr:uid="{00000000-0005-0000-0000-000047100000}"/>
    <cellStyle name="Comma0 3" xfId="7272" xr:uid="{00000000-0005-0000-0000-000048100000}"/>
    <cellStyle name="Comma0 30" xfId="7273" xr:uid="{00000000-0005-0000-0000-000049100000}"/>
    <cellStyle name="Comma0 4" xfId="7274" xr:uid="{00000000-0005-0000-0000-00004A100000}"/>
    <cellStyle name="Comma0 5" xfId="7275" xr:uid="{00000000-0005-0000-0000-00004B100000}"/>
    <cellStyle name="Comma0 6" xfId="7276" xr:uid="{00000000-0005-0000-0000-00004C100000}"/>
    <cellStyle name="Comma0 7" xfId="7277" xr:uid="{00000000-0005-0000-0000-00004D100000}"/>
    <cellStyle name="Comma0 8" xfId="7278" xr:uid="{00000000-0005-0000-0000-00004E100000}"/>
    <cellStyle name="Comma0 9" xfId="7279" xr:uid="{00000000-0005-0000-0000-00004F100000}"/>
    <cellStyle name="Comma1 - Modelo2" xfId="7280" xr:uid="{00000000-0005-0000-0000-000050100000}"/>
    <cellStyle name="Comma1 - Style2" xfId="7281" xr:uid="{00000000-0005-0000-0000-000051100000}"/>
    <cellStyle name="commap2" xfId="7282" xr:uid="{00000000-0005-0000-0000-000052100000}"/>
    <cellStyle name="CommaRounded" xfId="7283" xr:uid="{00000000-0005-0000-0000-000053100000}"/>
    <cellStyle name="Currency" xfId="4" builtinId="4"/>
    <cellStyle name="Currency (3)" xfId="7284" xr:uid="{00000000-0005-0000-0000-000055100000}"/>
    <cellStyle name="Currency 0" xfId="7285" xr:uid="{00000000-0005-0000-0000-000056100000}"/>
    <cellStyle name="Currency 10" xfId="7286" xr:uid="{00000000-0005-0000-0000-000057100000}"/>
    <cellStyle name="Currency 11" xfId="7287" xr:uid="{00000000-0005-0000-0000-000058100000}"/>
    <cellStyle name="Currency 12" xfId="7288" xr:uid="{00000000-0005-0000-0000-000059100000}"/>
    <cellStyle name="Currency 13" xfId="7289" xr:uid="{00000000-0005-0000-0000-00005A100000}"/>
    <cellStyle name="Currency 14" xfId="7290" xr:uid="{00000000-0005-0000-0000-00005B100000}"/>
    <cellStyle name="Currency 15" xfId="7291" xr:uid="{00000000-0005-0000-0000-00005C100000}"/>
    <cellStyle name="Currency 16" xfId="7292" xr:uid="{00000000-0005-0000-0000-00005D100000}"/>
    <cellStyle name="Currency 17" xfId="7293" xr:uid="{00000000-0005-0000-0000-00005E100000}"/>
    <cellStyle name="Currency 18" xfId="7294" xr:uid="{00000000-0005-0000-0000-00005F100000}"/>
    <cellStyle name="Currency 19" xfId="16884" xr:uid="{00000000-0005-0000-0000-000060100000}"/>
    <cellStyle name="Currency 2" xfId="10" xr:uid="{00000000-0005-0000-0000-000061100000}"/>
    <cellStyle name="Currency 2 10" xfId="7295" xr:uid="{00000000-0005-0000-0000-000062100000}"/>
    <cellStyle name="Currency 2 11" xfId="7296" xr:uid="{00000000-0005-0000-0000-000063100000}"/>
    <cellStyle name="Currency 2 12" xfId="7297" xr:uid="{00000000-0005-0000-0000-000064100000}"/>
    <cellStyle name="Currency 2 13" xfId="7298" xr:uid="{00000000-0005-0000-0000-000065100000}"/>
    <cellStyle name="Currency 2 14" xfId="7299" xr:uid="{00000000-0005-0000-0000-000066100000}"/>
    <cellStyle name="Currency 2 15" xfId="7300" xr:uid="{00000000-0005-0000-0000-000067100000}"/>
    <cellStyle name="Currency 2 16" xfId="7301" xr:uid="{00000000-0005-0000-0000-000068100000}"/>
    <cellStyle name="Currency 2 17" xfId="7302" xr:uid="{00000000-0005-0000-0000-000069100000}"/>
    <cellStyle name="Currency 2 18" xfId="7303" xr:uid="{00000000-0005-0000-0000-00006A100000}"/>
    <cellStyle name="Currency 2 19" xfId="7304" xr:uid="{00000000-0005-0000-0000-00006B100000}"/>
    <cellStyle name="Currency 2 2" xfId="17" xr:uid="{00000000-0005-0000-0000-00006C100000}"/>
    <cellStyle name="Currency 2 2 10" xfId="7305" xr:uid="{00000000-0005-0000-0000-00006D100000}"/>
    <cellStyle name="Currency 2 2 2" xfId="3068" xr:uid="{00000000-0005-0000-0000-00006E100000}"/>
    <cellStyle name="Currency 2 2 2 2" xfId="7306" xr:uid="{00000000-0005-0000-0000-00006F100000}"/>
    <cellStyle name="Currency 2 2 2 2 2" xfId="7307" xr:uid="{00000000-0005-0000-0000-000070100000}"/>
    <cellStyle name="Currency 2 2 2 2 3" xfId="7308" xr:uid="{00000000-0005-0000-0000-000071100000}"/>
    <cellStyle name="Currency 2 2 2 2 4" xfId="7309" xr:uid="{00000000-0005-0000-0000-000072100000}"/>
    <cellStyle name="Currency 2 2 2 3" xfId="7310" xr:uid="{00000000-0005-0000-0000-000073100000}"/>
    <cellStyle name="Currency 2 2 2 3 2" xfId="7311" xr:uid="{00000000-0005-0000-0000-000074100000}"/>
    <cellStyle name="Currency 2 2 2 4" xfId="7312" xr:uid="{00000000-0005-0000-0000-000075100000}"/>
    <cellStyle name="Currency 2 2 2 5" xfId="7313" xr:uid="{00000000-0005-0000-0000-000076100000}"/>
    <cellStyle name="Currency 2 2 2 6" xfId="7314" xr:uid="{00000000-0005-0000-0000-000077100000}"/>
    <cellStyle name="Currency 2 2 2 7" xfId="7315" xr:uid="{00000000-0005-0000-0000-000078100000}"/>
    <cellStyle name="Currency 2 2 2 8" xfId="7316" xr:uid="{00000000-0005-0000-0000-000079100000}"/>
    <cellStyle name="Currency 2 2 2 9" xfId="7317" xr:uid="{00000000-0005-0000-0000-00007A100000}"/>
    <cellStyle name="Currency 2 2 3" xfId="7318" xr:uid="{00000000-0005-0000-0000-00007B100000}"/>
    <cellStyle name="Currency 2 2 3 2" xfId="7319" xr:uid="{00000000-0005-0000-0000-00007C100000}"/>
    <cellStyle name="Currency 2 2 3 3" xfId="7320" xr:uid="{00000000-0005-0000-0000-00007D100000}"/>
    <cellStyle name="Currency 2 2 3 4" xfId="7321" xr:uid="{00000000-0005-0000-0000-00007E100000}"/>
    <cellStyle name="Currency 2 2 4" xfId="7322" xr:uid="{00000000-0005-0000-0000-00007F100000}"/>
    <cellStyle name="Currency 2 2 4 2" xfId="7323" xr:uid="{00000000-0005-0000-0000-000080100000}"/>
    <cellStyle name="Currency 2 2 4 2 2" xfId="7324" xr:uid="{00000000-0005-0000-0000-000081100000}"/>
    <cellStyle name="Currency 2 2 4 2 3" xfId="7325" xr:uid="{00000000-0005-0000-0000-000082100000}"/>
    <cellStyle name="Currency 2 2 4 3" xfId="7326" xr:uid="{00000000-0005-0000-0000-000083100000}"/>
    <cellStyle name="Currency 2 2 4 4" xfId="7327" xr:uid="{00000000-0005-0000-0000-000084100000}"/>
    <cellStyle name="Currency 2 2 4 5" xfId="7328" xr:uid="{00000000-0005-0000-0000-000085100000}"/>
    <cellStyle name="Currency 2 2 4 6" xfId="7329" xr:uid="{00000000-0005-0000-0000-000086100000}"/>
    <cellStyle name="Currency 2 2 4 7" xfId="7330" xr:uid="{00000000-0005-0000-0000-000087100000}"/>
    <cellStyle name="Currency 2 2 4 8" xfId="7331" xr:uid="{00000000-0005-0000-0000-000088100000}"/>
    <cellStyle name="Currency 2 2 5" xfId="7332" xr:uid="{00000000-0005-0000-0000-000089100000}"/>
    <cellStyle name="Currency 2 2 5 2" xfId="7333" xr:uid="{00000000-0005-0000-0000-00008A100000}"/>
    <cellStyle name="Currency 2 2 5 3" xfId="7334" xr:uid="{00000000-0005-0000-0000-00008B100000}"/>
    <cellStyle name="Currency 2 2 6" xfId="7335" xr:uid="{00000000-0005-0000-0000-00008C100000}"/>
    <cellStyle name="Currency 2 2 6 2" xfId="7336" xr:uid="{00000000-0005-0000-0000-00008D100000}"/>
    <cellStyle name="Currency 2 2 7" xfId="7337" xr:uid="{00000000-0005-0000-0000-00008E100000}"/>
    <cellStyle name="Currency 2 2 8" xfId="7338" xr:uid="{00000000-0005-0000-0000-00008F100000}"/>
    <cellStyle name="Currency 2 2 9" xfId="7339" xr:uid="{00000000-0005-0000-0000-000090100000}"/>
    <cellStyle name="Currency 2 20" xfId="7340" xr:uid="{00000000-0005-0000-0000-000091100000}"/>
    <cellStyle name="Currency 2 21" xfId="7341" xr:uid="{00000000-0005-0000-0000-000092100000}"/>
    <cellStyle name="Currency 2 22" xfId="7342" xr:uid="{00000000-0005-0000-0000-000093100000}"/>
    <cellStyle name="Currency 2 23" xfId="7343" xr:uid="{00000000-0005-0000-0000-000094100000}"/>
    <cellStyle name="Currency 2 24" xfId="7344" xr:uid="{00000000-0005-0000-0000-000095100000}"/>
    <cellStyle name="Currency 2 25" xfId="7345" xr:uid="{00000000-0005-0000-0000-000096100000}"/>
    <cellStyle name="Currency 2 26" xfId="7346" xr:uid="{00000000-0005-0000-0000-000097100000}"/>
    <cellStyle name="Currency 2 3" xfId="3069" xr:uid="{00000000-0005-0000-0000-000098100000}"/>
    <cellStyle name="Currency 2 3 2" xfId="3070" xr:uid="{00000000-0005-0000-0000-000099100000}"/>
    <cellStyle name="Currency 2 3 3" xfId="7347" xr:uid="{00000000-0005-0000-0000-00009A100000}"/>
    <cellStyle name="Currency 2 3 4" xfId="7348" xr:uid="{00000000-0005-0000-0000-00009B100000}"/>
    <cellStyle name="Currency 2 4" xfId="3071" xr:uid="{00000000-0005-0000-0000-00009C100000}"/>
    <cellStyle name="Currency 2 4 2" xfId="3072" xr:uid="{00000000-0005-0000-0000-00009D100000}"/>
    <cellStyle name="Currency 2 4 2 2" xfId="7349" xr:uid="{00000000-0005-0000-0000-00009E100000}"/>
    <cellStyle name="Currency 2 4 3" xfId="7350" xr:uid="{00000000-0005-0000-0000-00009F100000}"/>
    <cellStyle name="Currency 2 4 4" xfId="7351" xr:uid="{00000000-0005-0000-0000-0000A0100000}"/>
    <cellStyle name="Currency 2 5" xfId="3073" xr:uid="{00000000-0005-0000-0000-0000A1100000}"/>
    <cellStyle name="Currency 2 5 2" xfId="3074" xr:uid="{00000000-0005-0000-0000-0000A2100000}"/>
    <cellStyle name="Currency 2 6" xfId="3075" xr:uid="{00000000-0005-0000-0000-0000A3100000}"/>
    <cellStyle name="Currency 2 7" xfId="7352" xr:uid="{00000000-0005-0000-0000-0000A4100000}"/>
    <cellStyle name="Currency 2 8" xfId="7353" xr:uid="{00000000-0005-0000-0000-0000A5100000}"/>
    <cellStyle name="Currency 2 9" xfId="7354" xr:uid="{00000000-0005-0000-0000-0000A6100000}"/>
    <cellStyle name="Currency 3" xfId="12" xr:uid="{00000000-0005-0000-0000-0000A7100000}"/>
    <cellStyle name="Currency 3 2" xfId="25" xr:uid="{00000000-0005-0000-0000-0000A8100000}"/>
    <cellStyle name="Currency 3 2 2" xfId="7355" xr:uid="{00000000-0005-0000-0000-0000A9100000}"/>
    <cellStyle name="Currency 3 3" xfId="7356" xr:uid="{00000000-0005-0000-0000-0000AA100000}"/>
    <cellStyle name="Currency 3 3 2" xfId="7357" xr:uid="{00000000-0005-0000-0000-0000AB100000}"/>
    <cellStyle name="Currency 3 4" xfId="7358" xr:uid="{00000000-0005-0000-0000-0000AC100000}"/>
    <cellStyle name="Currency 3 5" xfId="7359" xr:uid="{00000000-0005-0000-0000-0000AD100000}"/>
    <cellStyle name="Currency 3 6" xfId="7360" xr:uid="{00000000-0005-0000-0000-0000AE100000}"/>
    <cellStyle name="Currency 3 7" xfId="3076" xr:uid="{00000000-0005-0000-0000-0000AF100000}"/>
    <cellStyle name="Currency 4" xfId="3077" xr:uid="{00000000-0005-0000-0000-0000B0100000}"/>
    <cellStyle name="Currency 4 2" xfId="7361" xr:uid="{00000000-0005-0000-0000-0000B1100000}"/>
    <cellStyle name="Currency 4 2 2" xfId="7362" xr:uid="{00000000-0005-0000-0000-0000B2100000}"/>
    <cellStyle name="Currency 4 3" xfId="7363" xr:uid="{00000000-0005-0000-0000-0000B3100000}"/>
    <cellStyle name="Currency 4 4" xfId="7364" xr:uid="{00000000-0005-0000-0000-0000B4100000}"/>
    <cellStyle name="Currency 4 5" xfId="7365" xr:uid="{00000000-0005-0000-0000-0000B5100000}"/>
    <cellStyle name="Currency 4 6" xfId="7366" xr:uid="{00000000-0005-0000-0000-0000B6100000}"/>
    <cellStyle name="Currency 5" xfId="7367" xr:uid="{00000000-0005-0000-0000-0000B7100000}"/>
    <cellStyle name="Currency 5 10" xfId="7368" xr:uid="{00000000-0005-0000-0000-0000B8100000}"/>
    <cellStyle name="Currency 5 11" xfId="7369" xr:uid="{00000000-0005-0000-0000-0000B9100000}"/>
    <cellStyle name="Currency 5 2" xfId="7370" xr:uid="{00000000-0005-0000-0000-0000BA100000}"/>
    <cellStyle name="Currency 5 2 2" xfId="7371" xr:uid="{00000000-0005-0000-0000-0000BB100000}"/>
    <cellStyle name="Currency 5 2 2 2" xfId="7372" xr:uid="{00000000-0005-0000-0000-0000BC100000}"/>
    <cellStyle name="Currency 5 2 2 3" xfId="7373" xr:uid="{00000000-0005-0000-0000-0000BD100000}"/>
    <cellStyle name="Currency 5 2 2 4" xfId="7374" xr:uid="{00000000-0005-0000-0000-0000BE100000}"/>
    <cellStyle name="Currency 5 2 3" xfId="7375" xr:uid="{00000000-0005-0000-0000-0000BF100000}"/>
    <cellStyle name="Currency 5 2 3 2" xfId="7376" xr:uid="{00000000-0005-0000-0000-0000C0100000}"/>
    <cellStyle name="Currency 5 2 4" xfId="7377" xr:uid="{00000000-0005-0000-0000-0000C1100000}"/>
    <cellStyle name="Currency 5 2 5" xfId="7378" xr:uid="{00000000-0005-0000-0000-0000C2100000}"/>
    <cellStyle name="Currency 5 2 6" xfId="7379" xr:uid="{00000000-0005-0000-0000-0000C3100000}"/>
    <cellStyle name="Currency 5 2 7" xfId="7380" xr:uid="{00000000-0005-0000-0000-0000C4100000}"/>
    <cellStyle name="Currency 5 2 8" xfId="7381" xr:uid="{00000000-0005-0000-0000-0000C5100000}"/>
    <cellStyle name="Currency 5 2 9" xfId="7382" xr:uid="{00000000-0005-0000-0000-0000C6100000}"/>
    <cellStyle name="Currency 5 3" xfId="7383" xr:uid="{00000000-0005-0000-0000-0000C7100000}"/>
    <cellStyle name="Currency 5 3 2" xfId="7384" xr:uid="{00000000-0005-0000-0000-0000C8100000}"/>
    <cellStyle name="Currency 5 3 3" xfId="7385" xr:uid="{00000000-0005-0000-0000-0000C9100000}"/>
    <cellStyle name="Currency 5 3 4" xfId="7386" xr:uid="{00000000-0005-0000-0000-0000CA100000}"/>
    <cellStyle name="Currency 5 4" xfId="7387" xr:uid="{00000000-0005-0000-0000-0000CB100000}"/>
    <cellStyle name="Currency 5 4 2" xfId="7388" xr:uid="{00000000-0005-0000-0000-0000CC100000}"/>
    <cellStyle name="Currency 5 4 3" xfId="7389" xr:uid="{00000000-0005-0000-0000-0000CD100000}"/>
    <cellStyle name="Currency 5 5" xfId="7390" xr:uid="{00000000-0005-0000-0000-0000CE100000}"/>
    <cellStyle name="Currency 5 5 2" xfId="7391" xr:uid="{00000000-0005-0000-0000-0000CF100000}"/>
    <cellStyle name="Currency 5 5 3" xfId="7392" xr:uid="{00000000-0005-0000-0000-0000D0100000}"/>
    <cellStyle name="Currency 5 6" xfId="7393" xr:uid="{00000000-0005-0000-0000-0000D1100000}"/>
    <cellStyle name="Currency 5 6 2" xfId="7394" xr:uid="{00000000-0005-0000-0000-0000D2100000}"/>
    <cellStyle name="Currency 5 7" xfId="7395" xr:uid="{00000000-0005-0000-0000-0000D3100000}"/>
    <cellStyle name="Currency 5 8" xfId="7396" xr:uid="{00000000-0005-0000-0000-0000D4100000}"/>
    <cellStyle name="Currency 5 9" xfId="7397" xr:uid="{00000000-0005-0000-0000-0000D5100000}"/>
    <cellStyle name="Currency 6" xfId="7398" xr:uid="{00000000-0005-0000-0000-0000D6100000}"/>
    <cellStyle name="Currency 6 2" xfId="7399" xr:uid="{00000000-0005-0000-0000-0000D7100000}"/>
    <cellStyle name="Currency 6 2 2" xfId="7400" xr:uid="{00000000-0005-0000-0000-0000D8100000}"/>
    <cellStyle name="Currency 6 2 3" xfId="7401" xr:uid="{00000000-0005-0000-0000-0000D9100000}"/>
    <cellStyle name="Currency 6 3" xfId="7402" xr:uid="{00000000-0005-0000-0000-0000DA100000}"/>
    <cellStyle name="Currency 6 4" xfId="7403" xr:uid="{00000000-0005-0000-0000-0000DB100000}"/>
    <cellStyle name="Currency 6 5" xfId="7404" xr:uid="{00000000-0005-0000-0000-0000DC100000}"/>
    <cellStyle name="Currency 6 5 2" xfId="7405" xr:uid="{00000000-0005-0000-0000-0000DD100000}"/>
    <cellStyle name="Currency 6 6" xfId="7406" xr:uid="{00000000-0005-0000-0000-0000DE100000}"/>
    <cellStyle name="Currency 6 6 2" xfId="7407" xr:uid="{00000000-0005-0000-0000-0000DF100000}"/>
    <cellStyle name="Currency 7" xfId="7408" xr:uid="{00000000-0005-0000-0000-0000E0100000}"/>
    <cellStyle name="Currency 7 2" xfId="7409" xr:uid="{00000000-0005-0000-0000-0000E1100000}"/>
    <cellStyle name="Currency 7 3" xfId="7410" xr:uid="{00000000-0005-0000-0000-0000E2100000}"/>
    <cellStyle name="Currency 7 4" xfId="7411" xr:uid="{00000000-0005-0000-0000-0000E3100000}"/>
    <cellStyle name="Currency 7 5" xfId="7412" xr:uid="{00000000-0005-0000-0000-0000E4100000}"/>
    <cellStyle name="Currency 7 6" xfId="7413" xr:uid="{00000000-0005-0000-0000-0000E5100000}"/>
    <cellStyle name="Currency 8" xfId="7414" xr:uid="{00000000-0005-0000-0000-0000E6100000}"/>
    <cellStyle name="Currency 9" xfId="7415" xr:uid="{00000000-0005-0000-0000-0000E7100000}"/>
    <cellStyle name="Currency0" xfId="7416" xr:uid="{00000000-0005-0000-0000-0000E8100000}"/>
    <cellStyle name="Currency0 10" xfId="7417" xr:uid="{00000000-0005-0000-0000-0000E9100000}"/>
    <cellStyle name="Currency0 11" xfId="7418" xr:uid="{00000000-0005-0000-0000-0000EA100000}"/>
    <cellStyle name="Currency0 12" xfId="7419" xr:uid="{00000000-0005-0000-0000-0000EB100000}"/>
    <cellStyle name="Currency0 13" xfId="7420" xr:uid="{00000000-0005-0000-0000-0000EC100000}"/>
    <cellStyle name="Currency0 14" xfId="7421" xr:uid="{00000000-0005-0000-0000-0000ED100000}"/>
    <cellStyle name="Currency0 15" xfId="7422" xr:uid="{00000000-0005-0000-0000-0000EE100000}"/>
    <cellStyle name="Currency0 16" xfId="7423" xr:uid="{00000000-0005-0000-0000-0000EF100000}"/>
    <cellStyle name="Currency0 17" xfId="7424" xr:uid="{00000000-0005-0000-0000-0000F0100000}"/>
    <cellStyle name="Currency0 18" xfId="7425" xr:uid="{00000000-0005-0000-0000-0000F1100000}"/>
    <cellStyle name="Currency0 19" xfId="7426" xr:uid="{00000000-0005-0000-0000-0000F2100000}"/>
    <cellStyle name="Currency0 2" xfId="7427" xr:uid="{00000000-0005-0000-0000-0000F3100000}"/>
    <cellStyle name="Currency0 20" xfId="7428" xr:uid="{00000000-0005-0000-0000-0000F4100000}"/>
    <cellStyle name="Currency0 21" xfId="7429" xr:uid="{00000000-0005-0000-0000-0000F5100000}"/>
    <cellStyle name="Currency0 22" xfId="7430" xr:uid="{00000000-0005-0000-0000-0000F6100000}"/>
    <cellStyle name="Currency0 23" xfId="7431" xr:uid="{00000000-0005-0000-0000-0000F7100000}"/>
    <cellStyle name="Currency0 24" xfId="7432" xr:uid="{00000000-0005-0000-0000-0000F8100000}"/>
    <cellStyle name="Currency0 25" xfId="7433" xr:uid="{00000000-0005-0000-0000-0000F9100000}"/>
    <cellStyle name="Currency0 26" xfId="7434" xr:uid="{00000000-0005-0000-0000-0000FA100000}"/>
    <cellStyle name="Currency0 27" xfId="7435" xr:uid="{00000000-0005-0000-0000-0000FB100000}"/>
    <cellStyle name="Currency0 28" xfId="7436" xr:uid="{00000000-0005-0000-0000-0000FC100000}"/>
    <cellStyle name="Currency0 29" xfId="7437" xr:uid="{00000000-0005-0000-0000-0000FD100000}"/>
    <cellStyle name="Currency0 3" xfId="7438" xr:uid="{00000000-0005-0000-0000-0000FE100000}"/>
    <cellStyle name="Currency0 30" xfId="7439" xr:uid="{00000000-0005-0000-0000-0000FF100000}"/>
    <cellStyle name="Currency0 4" xfId="7440" xr:uid="{00000000-0005-0000-0000-000000110000}"/>
    <cellStyle name="Currency0 5" xfId="7441" xr:uid="{00000000-0005-0000-0000-000001110000}"/>
    <cellStyle name="Currency0 6" xfId="7442" xr:uid="{00000000-0005-0000-0000-000002110000}"/>
    <cellStyle name="Currency0 7" xfId="7443" xr:uid="{00000000-0005-0000-0000-000003110000}"/>
    <cellStyle name="Currency0 8" xfId="7444" xr:uid="{00000000-0005-0000-0000-000004110000}"/>
    <cellStyle name="Currency0 9" xfId="7445" xr:uid="{00000000-0005-0000-0000-000005110000}"/>
    <cellStyle name="Dash" xfId="7446" xr:uid="{00000000-0005-0000-0000-000006110000}"/>
    <cellStyle name="Date" xfId="3078" xr:uid="{00000000-0005-0000-0000-000007110000}"/>
    <cellStyle name="Date 2" xfId="7447" xr:uid="{00000000-0005-0000-0000-000008110000}"/>
    <cellStyle name="Date 3" xfId="7448" xr:uid="{00000000-0005-0000-0000-000009110000}"/>
    <cellStyle name="Date 4" xfId="7449" xr:uid="{00000000-0005-0000-0000-00000A110000}"/>
    <cellStyle name="Date Aligned" xfId="7450" xr:uid="{00000000-0005-0000-0000-00000B110000}"/>
    <cellStyle name="Date_2006 08 11 RX3 Valuation v1" xfId="7451" xr:uid="{00000000-0005-0000-0000-00000C110000}"/>
    <cellStyle name="Dia" xfId="7452" xr:uid="{00000000-0005-0000-0000-00000D110000}"/>
    <cellStyle name="Dotted Line" xfId="7453" xr:uid="{00000000-0005-0000-0000-00000E110000}"/>
    <cellStyle name="Emphasis 1" xfId="7454" xr:uid="{00000000-0005-0000-0000-00000F110000}"/>
    <cellStyle name="Emphasis 2" xfId="7455" xr:uid="{00000000-0005-0000-0000-000010110000}"/>
    <cellStyle name="Emphasis 3" xfId="7456" xr:uid="{00000000-0005-0000-0000-000011110000}"/>
    <cellStyle name="Encabez1" xfId="7457" xr:uid="{00000000-0005-0000-0000-000012110000}"/>
    <cellStyle name="Encabez2" xfId="7458" xr:uid="{00000000-0005-0000-0000-000013110000}"/>
    <cellStyle name="Euro" xfId="7459" xr:uid="{00000000-0005-0000-0000-000014110000}"/>
    <cellStyle name="Euro 10" xfId="7460" xr:uid="{00000000-0005-0000-0000-000015110000}"/>
    <cellStyle name="Euro 11" xfId="7461" xr:uid="{00000000-0005-0000-0000-000016110000}"/>
    <cellStyle name="Euro 12" xfId="7462" xr:uid="{00000000-0005-0000-0000-000017110000}"/>
    <cellStyle name="Euro 13" xfId="7463" xr:uid="{00000000-0005-0000-0000-000018110000}"/>
    <cellStyle name="Euro 14" xfId="7464" xr:uid="{00000000-0005-0000-0000-000019110000}"/>
    <cellStyle name="Euro 15" xfId="7465" xr:uid="{00000000-0005-0000-0000-00001A110000}"/>
    <cellStyle name="Euro 16" xfId="7466" xr:uid="{00000000-0005-0000-0000-00001B110000}"/>
    <cellStyle name="Euro 17" xfId="7467" xr:uid="{00000000-0005-0000-0000-00001C110000}"/>
    <cellStyle name="Euro 18" xfId="7468" xr:uid="{00000000-0005-0000-0000-00001D110000}"/>
    <cellStyle name="Euro 2" xfId="7469" xr:uid="{00000000-0005-0000-0000-00001E110000}"/>
    <cellStyle name="Euro 2 2" xfId="7470" xr:uid="{00000000-0005-0000-0000-00001F110000}"/>
    <cellStyle name="Euro 2 2 2" xfId="7471" xr:uid="{00000000-0005-0000-0000-000020110000}"/>
    <cellStyle name="Euro 2 3" xfId="7472" xr:uid="{00000000-0005-0000-0000-000021110000}"/>
    <cellStyle name="Euro 2 4" xfId="7473" xr:uid="{00000000-0005-0000-0000-000022110000}"/>
    <cellStyle name="Euro 2 5" xfId="7474" xr:uid="{00000000-0005-0000-0000-000023110000}"/>
    <cellStyle name="Euro 2 6" xfId="7475" xr:uid="{00000000-0005-0000-0000-000024110000}"/>
    <cellStyle name="Euro 2 7" xfId="7476" xr:uid="{00000000-0005-0000-0000-000025110000}"/>
    <cellStyle name="Euro 2 8" xfId="7477" xr:uid="{00000000-0005-0000-0000-000026110000}"/>
    <cellStyle name="Euro 3" xfId="7478" xr:uid="{00000000-0005-0000-0000-000027110000}"/>
    <cellStyle name="Euro 3 2" xfId="7479" xr:uid="{00000000-0005-0000-0000-000028110000}"/>
    <cellStyle name="Euro 3 3" xfId="7480" xr:uid="{00000000-0005-0000-0000-000029110000}"/>
    <cellStyle name="Euro 3 4" xfId="7481" xr:uid="{00000000-0005-0000-0000-00002A110000}"/>
    <cellStyle name="Euro 3 5" xfId="7482" xr:uid="{00000000-0005-0000-0000-00002B110000}"/>
    <cellStyle name="Euro 3 6" xfId="7483" xr:uid="{00000000-0005-0000-0000-00002C110000}"/>
    <cellStyle name="Euro 3 7" xfId="7484" xr:uid="{00000000-0005-0000-0000-00002D110000}"/>
    <cellStyle name="Euro 3 8" xfId="7485" xr:uid="{00000000-0005-0000-0000-00002E110000}"/>
    <cellStyle name="Euro 4" xfId="7486" xr:uid="{00000000-0005-0000-0000-00002F110000}"/>
    <cellStyle name="Euro 4 2" xfId="7487" xr:uid="{00000000-0005-0000-0000-000030110000}"/>
    <cellStyle name="Euro 4 3" xfId="7488" xr:uid="{00000000-0005-0000-0000-000031110000}"/>
    <cellStyle name="Euro 5" xfId="7489" xr:uid="{00000000-0005-0000-0000-000032110000}"/>
    <cellStyle name="Euro 5 2" xfId="7490" xr:uid="{00000000-0005-0000-0000-000033110000}"/>
    <cellStyle name="Euro 6" xfId="7491" xr:uid="{00000000-0005-0000-0000-000034110000}"/>
    <cellStyle name="Euro 7" xfId="7492" xr:uid="{00000000-0005-0000-0000-000035110000}"/>
    <cellStyle name="Euro 8" xfId="7493" xr:uid="{00000000-0005-0000-0000-000036110000}"/>
    <cellStyle name="Euro 9" xfId="7494" xr:uid="{00000000-0005-0000-0000-000037110000}"/>
    <cellStyle name="Excel Built-in Accent1" xfId="7495" xr:uid="{00000000-0005-0000-0000-000038110000}"/>
    <cellStyle name="Excel Built-in Currency" xfId="7496" xr:uid="{00000000-0005-0000-0000-000039110000}"/>
    <cellStyle name="Excel Built-in Hyperlink" xfId="7497" xr:uid="{00000000-0005-0000-0000-00003A110000}"/>
    <cellStyle name="Excel Built-in Normal" xfId="7498" xr:uid="{00000000-0005-0000-0000-00003B110000}"/>
    <cellStyle name="Explanatory Text 10" xfId="7499" xr:uid="{00000000-0005-0000-0000-00003C110000}"/>
    <cellStyle name="Explanatory Text 11" xfId="7500" xr:uid="{00000000-0005-0000-0000-00003D110000}"/>
    <cellStyle name="Explanatory Text 2" xfId="3079" xr:uid="{00000000-0005-0000-0000-00003E110000}"/>
    <cellStyle name="Explanatory Text 2 2" xfId="7501" xr:uid="{00000000-0005-0000-0000-00003F110000}"/>
    <cellStyle name="Explanatory Text 2 2 2" xfId="7502" xr:uid="{00000000-0005-0000-0000-000040110000}"/>
    <cellStyle name="Explanatory Text 2 3" xfId="7503" xr:uid="{00000000-0005-0000-0000-000041110000}"/>
    <cellStyle name="Explanatory Text 2 4" xfId="7504" xr:uid="{00000000-0005-0000-0000-000042110000}"/>
    <cellStyle name="Explanatory Text 2 5" xfId="7505" xr:uid="{00000000-0005-0000-0000-000043110000}"/>
    <cellStyle name="Explanatory Text 2 6" xfId="7506" xr:uid="{00000000-0005-0000-0000-000044110000}"/>
    <cellStyle name="Explanatory Text 3" xfId="3080" xr:uid="{00000000-0005-0000-0000-000045110000}"/>
    <cellStyle name="Explanatory Text 3 2" xfId="7507" xr:uid="{00000000-0005-0000-0000-000046110000}"/>
    <cellStyle name="Explanatory Text 3 2 2" xfId="7508" xr:uid="{00000000-0005-0000-0000-000047110000}"/>
    <cellStyle name="Explanatory Text 3 3" xfId="7509" xr:uid="{00000000-0005-0000-0000-000048110000}"/>
    <cellStyle name="Explanatory Text 4" xfId="3209" xr:uid="{00000000-0005-0000-0000-000049110000}"/>
    <cellStyle name="Explanatory Text 4 2" xfId="7510" xr:uid="{00000000-0005-0000-0000-00004A110000}"/>
    <cellStyle name="Explanatory Text 5" xfId="7511" xr:uid="{00000000-0005-0000-0000-00004B110000}"/>
    <cellStyle name="Explanatory Text 5 2" xfId="7512" xr:uid="{00000000-0005-0000-0000-00004C110000}"/>
    <cellStyle name="Explanatory Text 6" xfId="7513" xr:uid="{00000000-0005-0000-0000-00004D110000}"/>
    <cellStyle name="Explanatory Text 6 2" xfId="7514" xr:uid="{00000000-0005-0000-0000-00004E110000}"/>
    <cellStyle name="Explanatory Text 7" xfId="7515" xr:uid="{00000000-0005-0000-0000-00004F110000}"/>
    <cellStyle name="Explanatory Text 8" xfId="7516" xr:uid="{00000000-0005-0000-0000-000050110000}"/>
    <cellStyle name="Explanatory Text 9" xfId="7517" xr:uid="{00000000-0005-0000-0000-000051110000}"/>
    <cellStyle name="Explanatory Text 9 2" xfId="7518" xr:uid="{00000000-0005-0000-0000-000052110000}"/>
    <cellStyle name="Explanatory Text 9 3" xfId="7519" xr:uid="{00000000-0005-0000-0000-000053110000}"/>
    <cellStyle name="EZ Pay formats" xfId="7520" xr:uid="{00000000-0005-0000-0000-000054110000}"/>
    <cellStyle name="F2" xfId="7521" xr:uid="{00000000-0005-0000-0000-000055110000}"/>
    <cellStyle name="F3" xfId="7522" xr:uid="{00000000-0005-0000-0000-000056110000}"/>
    <cellStyle name="F4" xfId="7523" xr:uid="{00000000-0005-0000-0000-000057110000}"/>
    <cellStyle name="F5" xfId="7524" xr:uid="{00000000-0005-0000-0000-000058110000}"/>
    <cellStyle name="F6" xfId="7525" xr:uid="{00000000-0005-0000-0000-000059110000}"/>
    <cellStyle name="F7" xfId="7526" xr:uid="{00000000-0005-0000-0000-00005A110000}"/>
    <cellStyle name="F8" xfId="7527" xr:uid="{00000000-0005-0000-0000-00005B110000}"/>
    <cellStyle name="Fijo" xfId="7528" xr:uid="{00000000-0005-0000-0000-00005C110000}"/>
    <cellStyle name="financial" xfId="7529" xr:uid="{00000000-0005-0000-0000-00005D110000}"/>
    <cellStyle name="Financiero" xfId="7530" xr:uid="{00000000-0005-0000-0000-00005E110000}"/>
    <cellStyle name="Fixed" xfId="3081" xr:uid="{00000000-0005-0000-0000-00005F110000}"/>
    <cellStyle name="Fixed 10" xfId="7531" xr:uid="{00000000-0005-0000-0000-000060110000}"/>
    <cellStyle name="Fixed 10 2" xfId="7532" xr:uid="{00000000-0005-0000-0000-000061110000}"/>
    <cellStyle name="Fixed 11" xfId="7533" xr:uid="{00000000-0005-0000-0000-000062110000}"/>
    <cellStyle name="Fixed 12" xfId="7534" xr:uid="{00000000-0005-0000-0000-000063110000}"/>
    <cellStyle name="Fixed 13" xfId="7535" xr:uid="{00000000-0005-0000-0000-000064110000}"/>
    <cellStyle name="Fixed 14" xfId="7536" xr:uid="{00000000-0005-0000-0000-000065110000}"/>
    <cellStyle name="Fixed 15" xfId="7537" xr:uid="{00000000-0005-0000-0000-000066110000}"/>
    <cellStyle name="Fixed 16" xfId="7538" xr:uid="{00000000-0005-0000-0000-000067110000}"/>
    <cellStyle name="Fixed 17" xfId="7539" xr:uid="{00000000-0005-0000-0000-000068110000}"/>
    <cellStyle name="Fixed 18" xfId="7540" xr:uid="{00000000-0005-0000-0000-000069110000}"/>
    <cellStyle name="Fixed 19" xfId="7541" xr:uid="{00000000-0005-0000-0000-00006A110000}"/>
    <cellStyle name="Fixed 2" xfId="7542" xr:uid="{00000000-0005-0000-0000-00006B110000}"/>
    <cellStyle name="Fixed 2 2" xfId="7543" xr:uid="{00000000-0005-0000-0000-00006C110000}"/>
    <cellStyle name="Fixed 2 2 2" xfId="7544" xr:uid="{00000000-0005-0000-0000-00006D110000}"/>
    <cellStyle name="Fixed 2 2 2 2" xfId="7545" xr:uid="{00000000-0005-0000-0000-00006E110000}"/>
    <cellStyle name="Fixed 2 2 3" xfId="7546" xr:uid="{00000000-0005-0000-0000-00006F110000}"/>
    <cellStyle name="Fixed 2 2_Actual" xfId="7547" xr:uid="{00000000-0005-0000-0000-000070110000}"/>
    <cellStyle name="Fixed 2 3" xfId="7548" xr:uid="{00000000-0005-0000-0000-000071110000}"/>
    <cellStyle name="Fixed 2 3 2" xfId="7549" xr:uid="{00000000-0005-0000-0000-000072110000}"/>
    <cellStyle name="Fixed 2 4" xfId="7550" xr:uid="{00000000-0005-0000-0000-000073110000}"/>
    <cellStyle name="Fixed 2 4 2" xfId="7551" xr:uid="{00000000-0005-0000-0000-000074110000}"/>
    <cellStyle name="Fixed 2 4 2 2" xfId="7552" xr:uid="{00000000-0005-0000-0000-000075110000}"/>
    <cellStyle name="Fixed 2 4 3" xfId="7553" xr:uid="{00000000-0005-0000-0000-000076110000}"/>
    <cellStyle name="Fixed 2 4_Actual" xfId="7554" xr:uid="{00000000-0005-0000-0000-000077110000}"/>
    <cellStyle name="Fixed 2 5" xfId="7555" xr:uid="{00000000-0005-0000-0000-000078110000}"/>
    <cellStyle name="Fixed 2 6" xfId="7556" xr:uid="{00000000-0005-0000-0000-000079110000}"/>
    <cellStyle name="Fixed 2 6 2" xfId="7557" xr:uid="{00000000-0005-0000-0000-00007A110000}"/>
    <cellStyle name="Fixed 2 7" xfId="7558" xr:uid="{00000000-0005-0000-0000-00007B110000}"/>
    <cellStyle name="Fixed 2 7 2" xfId="7559" xr:uid="{00000000-0005-0000-0000-00007C110000}"/>
    <cellStyle name="Fixed 2 8" xfId="7560" xr:uid="{00000000-0005-0000-0000-00007D110000}"/>
    <cellStyle name="Fixed 2_120110 NFC Risk Flash" xfId="7561" xr:uid="{00000000-0005-0000-0000-00007E110000}"/>
    <cellStyle name="Fixed 20" xfId="7562" xr:uid="{00000000-0005-0000-0000-00007F110000}"/>
    <cellStyle name="Fixed 21" xfId="7563" xr:uid="{00000000-0005-0000-0000-000080110000}"/>
    <cellStyle name="Fixed 22" xfId="7564" xr:uid="{00000000-0005-0000-0000-000081110000}"/>
    <cellStyle name="Fixed 23" xfId="7565" xr:uid="{00000000-0005-0000-0000-000082110000}"/>
    <cellStyle name="Fixed 24" xfId="7566" xr:uid="{00000000-0005-0000-0000-000083110000}"/>
    <cellStyle name="Fixed 25" xfId="7567" xr:uid="{00000000-0005-0000-0000-000084110000}"/>
    <cellStyle name="Fixed 26" xfId="7568" xr:uid="{00000000-0005-0000-0000-000085110000}"/>
    <cellStyle name="Fixed 27" xfId="7569" xr:uid="{00000000-0005-0000-0000-000086110000}"/>
    <cellStyle name="Fixed 28" xfId="7570" xr:uid="{00000000-0005-0000-0000-000087110000}"/>
    <cellStyle name="Fixed 29" xfId="7571" xr:uid="{00000000-0005-0000-0000-000088110000}"/>
    <cellStyle name="Fixed 3" xfId="7572" xr:uid="{00000000-0005-0000-0000-000089110000}"/>
    <cellStyle name="Fixed 3 2" xfId="7573" xr:uid="{00000000-0005-0000-0000-00008A110000}"/>
    <cellStyle name="Fixed 3 2 2" xfId="7574" xr:uid="{00000000-0005-0000-0000-00008B110000}"/>
    <cellStyle name="Fixed 3 3" xfId="7575" xr:uid="{00000000-0005-0000-0000-00008C110000}"/>
    <cellStyle name="Fixed 3 4" xfId="7576" xr:uid="{00000000-0005-0000-0000-00008D110000}"/>
    <cellStyle name="Fixed 3 4 2" xfId="7577" xr:uid="{00000000-0005-0000-0000-00008E110000}"/>
    <cellStyle name="Fixed 3 5" xfId="7578" xr:uid="{00000000-0005-0000-0000-00008F110000}"/>
    <cellStyle name="Fixed 3 6" xfId="7579" xr:uid="{00000000-0005-0000-0000-000090110000}"/>
    <cellStyle name="Fixed 3 7" xfId="7580" xr:uid="{00000000-0005-0000-0000-000091110000}"/>
    <cellStyle name="Fixed 3_120110 NFC Risk Flash" xfId="7581" xr:uid="{00000000-0005-0000-0000-000092110000}"/>
    <cellStyle name="Fixed 30" xfId="7582" xr:uid="{00000000-0005-0000-0000-000093110000}"/>
    <cellStyle name="Fixed 4" xfId="7583" xr:uid="{00000000-0005-0000-0000-000094110000}"/>
    <cellStyle name="Fixed 4 2" xfId="7584" xr:uid="{00000000-0005-0000-0000-000095110000}"/>
    <cellStyle name="Fixed 4 3" xfId="7585" xr:uid="{00000000-0005-0000-0000-000096110000}"/>
    <cellStyle name="Fixed 5" xfId="7586" xr:uid="{00000000-0005-0000-0000-000097110000}"/>
    <cellStyle name="Fixed 5 2" xfId="7587" xr:uid="{00000000-0005-0000-0000-000098110000}"/>
    <cellStyle name="Fixed 5 2 2" xfId="7588" xr:uid="{00000000-0005-0000-0000-000099110000}"/>
    <cellStyle name="Fixed 5 3" xfId="7589" xr:uid="{00000000-0005-0000-0000-00009A110000}"/>
    <cellStyle name="Fixed 5 4" xfId="7590" xr:uid="{00000000-0005-0000-0000-00009B110000}"/>
    <cellStyle name="Fixed 5_Actual" xfId="7591" xr:uid="{00000000-0005-0000-0000-00009C110000}"/>
    <cellStyle name="Fixed 6" xfId="7592" xr:uid="{00000000-0005-0000-0000-00009D110000}"/>
    <cellStyle name="Fixed 6 2" xfId="7593" xr:uid="{00000000-0005-0000-0000-00009E110000}"/>
    <cellStyle name="Fixed 7" xfId="7594" xr:uid="{00000000-0005-0000-0000-00009F110000}"/>
    <cellStyle name="Fixed 7 2" xfId="7595" xr:uid="{00000000-0005-0000-0000-0000A0110000}"/>
    <cellStyle name="Fixed 8" xfId="7596" xr:uid="{00000000-0005-0000-0000-0000A1110000}"/>
    <cellStyle name="Fixed 8 2" xfId="7597" xr:uid="{00000000-0005-0000-0000-0000A2110000}"/>
    <cellStyle name="Fixed 9" xfId="7598" xr:uid="{00000000-0005-0000-0000-0000A3110000}"/>
    <cellStyle name="Fixed 9 2" xfId="7599" xr:uid="{00000000-0005-0000-0000-0000A4110000}"/>
    <cellStyle name="Fixed_Actual" xfId="7600" xr:uid="{00000000-0005-0000-0000-0000A5110000}"/>
    <cellStyle name="Footnote" xfId="7601" xr:uid="{00000000-0005-0000-0000-0000A6110000}"/>
    <cellStyle name="gas daily" xfId="7602" xr:uid="{00000000-0005-0000-0000-0000A7110000}"/>
    <cellStyle name="Good 10" xfId="7603" xr:uid="{00000000-0005-0000-0000-0000A8110000}"/>
    <cellStyle name="Good 11" xfId="7604" xr:uid="{00000000-0005-0000-0000-0000A9110000}"/>
    <cellStyle name="Good 2" xfId="3082" xr:uid="{00000000-0005-0000-0000-0000AA110000}"/>
    <cellStyle name="Good 2 2" xfId="7605" xr:uid="{00000000-0005-0000-0000-0000AB110000}"/>
    <cellStyle name="Good 2 2 2" xfId="7606" xr:uid="{00000000-0005-0000-0000-0000AC110000}"/>
    <cellStyle name="Good 2 3" xfId="7607" xr:uid="{00000000-0005-0000-0000-0000AD110000}"/>
    <cellStyle name="Good 2 4" xfId="7608" xr:uid="{00000000-0005-0000-0000-0000AE110000}"/>
    <cellStyle name="Good 2 5" xfId="7609" xr:uid="{00000000-0005-0000-0000-0000AF110000}"/>
    <cellStyle name="Good 2 6" xfId="7610" xr:uid="{00000000-0005-0000-0000-0000B0110000}"/>
    <cellStyle name="Good 3" xfId="3083" xr:uid="{00000000-0005-0000-0000-0000B1110000}"/>
    <cellStyle name="Good 3 2" xfId="7611" xr:uid="{00000000-0005-0000-0000-0000B2110000}"/>
    <cellStyle name="Good 3 2 2" xfId="7612" xr:uid="{00000000-0005-0000-0000-0000B3110000}"/>
    <cellStyle name="Good 3 3" xfId="7613" xr:uid="{00000000-0005-0000-0000-0000B4110000}"/>
    <cellStyle name="Good 3 4" xfId="7614" xr:uid="{00000000-0005-0000-0000-0000B5110000}"/>
    <cellStyle name="Good 4" xfId="3210" xr:uid="{00000000-0005-0000-0000-0000B6110000}"/>
    <cellStyle name="Good 4 2" xfId="7615" xr:uid="{00000000-0005-0000-0000-0000B7110000}"/>
    <cellStyle name="Good 5" xfId="7616" xr:uid="{00000000-0005-0000-0000-0000B8110000}"/>
    <cellStyle name="Good 5 2" xfId="7617" xr:uid="{00000000-0005-0000-0000-0000B9110000}"/>
    <cellStyle name="Good 6" xfId="7618" xr:uid="{00000000-0005-0000-0000-0000BA110000}"/>
    <cellStyle name="Good 6 2" xfId="7619" xr:uid="{00000000-0005-0000-0000-0000BB110000}"/>
    <cellStyle name="Good 7" xfId="7620" xr:uid="{00000000-0005-0000-0000-0000BC110000}"/>
    <cellStyle name="Good 8" xfId="7621" xr:uid="{00000000-0005-0000-0000-0000BD110000}"/>
    <cellStyle name="Good 9" xfId="7622" xr:uid="{00000000-0005-0000-0000-0000BE110000}"/>
    <cellStyle name="Good 9 2" xfId="7623" xr:uid="{00000000-0005-0000-0000-0000BF110000}"/>
    <cellStyle name="Good 9 3" xfId="7624" xr:uid="{00000000-0005-0000-0000-0000C0110000}"/>
    <cellStyle name="Grey" xfId="3084" xr:uid="{00000000-0005-0000-0000-0000C1110000}"/>
    <cellStyle name="Grey 10" xfId="7625" xr:uid="{00000000-0005-0000-0000-0000C2110000}"/>
    <cellStyle name="Grey 11" xfId="7626" xr:uid="{00000000-0005-0000-0000-0000C3110000}"/>
    <cellStyle name="Grey 12" xfId="7627" xr:uid="{00000000-0005-0000-0000-0000C4110000}"/>
    <cellStyle name="Grey 13" xfId="7628" xr:uid="{00000000-0005-0000-0000-0000C5110000}"/>
    <cellStyle name="Grey 14" xfId="7629" xr:uid="{00000000-0005-0000-0000-0000C6110000}"/>
    <cellStyle name="Grey 15" xfId="7630" xr:uid="{00000000-0005-0000-0000-0000C7110000}"/>
    <cellStyle name="Grey 16" xfId="7631" xr:uid="{00000000-0005-0000-0000-0000C8110000}"/>
    <cellStyle name="Grey 17" xfId="7632" xr:uid="{00000000-0005-0000-0000-0000C9110000}"/>
    <cellStyle name="Grey 18" xfId="7633" xr:uid="{00000000-0005-0000-0000-0000CA110000}"/>
    <cellStyle name="Grey 19" xfId="7634" xr:uid="{00000000-0005-0000-0000-0000CB110000}"/>
    <cellStyle name="Grey 2" xfId="7635" xr:uid="{00000000-0005-0000-0000-0000CC110000}"/>
    <cellStyle name="Grey 20" xfId="7636" xr:uid="{00000000-0005-0000-0000-0000CD110000}"/>
    <cellStyle name="Grey 21" xfId="7637" xr:uid="{00000000-0005-0000-0000-0000CE110000}"/>
    <cellStyle name="Grey 22" xfId="7638" xr:uid="{00000000-0005-0000-0000-0000CF110000}"/>
    <cellStyle name="Grey 23" xfId="7639" xr:uid="{00000000-0005-0000-0000-0000D0110000}"/>
    <cellStyle name="Grey 24" xfId="7640" xr:uid="{00000000-0005-0000-0000-0000D1110000}"/>
    <cellStyle name="Grey 25" xfId="7641" xr:uid="{00000000-0005-0000-0000-0000D2110000}"/>
    <cellStyle name="Grey 26" xfId="7642" xr:uid="{00000000-0005-0000-0000-0000D3110000}"/>
    <cellStyle name="Grey 27" xfId="7643" xr:uid="{00000000-0005-0000-0000-0000D4110000}"/>
    <cellStyle name="Grey 28" xfId="7644" xr:uid="{00000000-0005-0000-0000-0000D5110000}"/>
    <cellStyle name="Grey 29" xfId="7645" xr:uid="{00000000-0005-0000-0000-0000D6110000}"/>
    <cellStyle name="Grey 3" xfId="7646" xr:uid="{00000000-0005-0000-0000-0000D7110000}"/>
    <cellStyle name="Grey 30" xfId="7647" xr:uid="{00000000-0005-0000-0000-0000D8110000}"/>
    <cellStyle name="Grey 4" xfId="7648" xr:uid="{00000000-0005-0000-0000-0000D9110000}"/>
    <cellStyle name="Grey 5" xfId="7649" xr:uid="{00000000-0005-0000-0000-0000DA110000}"/>
    <cellStyle name="Grey 6" xfId="7650" xr:uid="{00000000-0005-0000-0000-0000DB110000}"/>
    <cellStyle name="Grey 7" xfId="7651" xr:uid="{00000000-0005-0000-0000-0000DC110000}"/>
    <cellStyle name="Grey 8" xfId="7652" xr:uid="{00000000-0005-0000-0000-0000DD110000}"/>
    <cellStyle name="Grey 9" xfId="7653" xr:uid="{00000000-0005-0000-0000-0000DE110000}"/>
    <cellStyle name="Hard Percent" xfId="7654" xr:uid="{00000000-0005-0000-0000-0000DF110000}"/>
    <cellStyle name="HEADER" xfId="3085" xr:uid="{00000000-0005-0000-0000-0000E0110000}"/>
    <cellStyle name="HEADER 2" xfId="7655" xr:uid="{00000000-0005-0000-0000-0000E1110000}"/>
    <cellStyle name="HEADER 2 2" xfId="7656" xr:uid="{00000000-0005-0000-0000-0000E2110000}"/>
    <cellStyle name="HEADER 3" xfId="7657" xr:uid="{00000000-0005-0000-0000-0000E3110000}"/>
    <cellStyle name="HEADER 4" xfId="7658" xr:uid="{00000000-0005-0000-0000-0000E4110000}"/>
    <cellStyle name="HEADER 5" xfId="7659" xr:uid="{00000000-0005-0000-0000-0000E5110000}"/>
    <cellStyle name="Header1" xfId="7660" xr:uid="{00000000-0005-0000-0000-0000E6110000}"/>
    <cellStyle name="Header2" xfId="7661" xr:uid="{00000000-0005-0000-0000-0000E7110000}"/>
    <cellStyle name="Heading 1 10" xfId="7662" xr:uid="{00000000-0005-0000-0000-0000E8110000}"/>
    <cellStyle name="Heading 1 11" xfId="7663" xr:uid="{00000000-0005-0000-0000-0000E9110000}"/>
    <cellStyle name="Heading 1 2" xfId="3086" xr:uid="{00000000-0005-0000-0000-0000EA110000}"/>
    <cellStyle name="Heading 1 2 2" xfId="7664" xr:uid="{00000000-0005-0000-0000-0000EB110000}"/>
    <cellStyle name="Heading 1 2 2 2" xfId="7665" xr:uid="{00000000-0005-0000-0000-0000EC110000}"/>
    <cellStyle name="Heading 1 2 3" xfId="7666" xr:uid="{00000000-0005-0000-0000-0000ED110000}"/>
    <cellStyle name="Heading 1 2 4" xfId="7667" xr:uid="{00000000-0005-0000-0000-0000EE110000}"/>
    <cellStyle name="Heading 1 2 5" xfId="7668" xr:uid="{00000000-0005-0000-0000-0000EF110000}"/>
    <cellStyle name="Heading 1 2 6" xfId="7669" xr:uid="{00000000-0005-0000-0000-0000F0110000}"/>
    <cellStyle name="Heading 1 2 7" xfId="7670" xr:uid="{00000000-0005-0000-0000-0000F1110000}"/>
    <cellStyle name="Heading 1 3" xfId="3087" xr:uid="{00000000-0005-0000-0000-0000F2110000}"/>
    <cellStyle name="Heading 1 3 2" xfId="7671" xr:uid="{00000000-0005-0000-0000-0000F3110000}"/>
    <cellStyle name="Heading 1 3 2 2" xfId="7672" xr:uid="{00000000-0005-0000-0000-0000F4110000}"/>
    <cellStyle name="Heading 1 3 3" xfId="7673" xr:uid="{00000000-0005-0000-0000-0000F5110000}"/>
    <cellStyle name="Heading 1 3 4" xfId="7674" xr:uid="{00000000-0005-0000-0000-0000F6110000}"/>
    <cellStyle name="Heading 1 4" xfId="3211" xr:uid="{00000000-0005-0000-0000-0000F7110000}"/>
    <cellStyle name="Heading 1 4 2" xfId="7675" xr:uid="{00000000-0005-0000-0000-0000F8110000}"/>
    <cellStyle name="Heading 1 5" xfId="7676" xr:uid="{00000000-0005-0000-0000-0000F9110000}"/>
    <cellStyle name="Heading 1 5 2" xfId="7677" xr:uid="{00000000-0005-0000-0000-0000FA110000}"/>
    <cellStyle name="Heading 1 6" xfId="7678" xr:uid="{00000000-0005-0000-0000-0000FB110000}"/>
    <cellStyle name="Heading 1 6 2" xfId="7679" xr:uid="{00000000-0005-0000-0000-0000FC110000}"/>
    <cellStyle name="Heading 1 7" xfId="7680" xr:uid="{00000000-0005-0000-0000-0000FD110000}"/>
    <cellStyle name="Heading 1 8" xfId="7681" xr:uid="{00000000-0005-0000-0000-0000FE110000}"/>
    <cellStyle name="Heading 1 9" xfId="7682" xr:uid="{00000000-0005-0000-0000-0000FF110000}"/>
    <cellStyle name="Heading 1 9 2" xfId="7683" xr:uid="{00000000-0005-0000-0000-000000120000}"/>
    <cellStyle name="Heading 1 9 3" xfId="7684" xr:uid="{00000000-0005-0000-0000-000001120000}"/>
    <cellStyle name="Heading 2 10" xfId="7685" xr:uid="{00000000-0005-0000-0000-000002120000}"/>
    <cellStyle name="Heading 2 11" xfId="7686" xr:uid="{00000000-0005-0000-0000-000003120000}"/>
    <cellStyle name="Heading 2 2" xfId="3088" xr:uid="{00000000-0005-0000-0000-000004120000}"/>
    <cellStyle name="Heading 2 2 2" xfId="7687" xr:uid="{00000000-0005-0000-0000-000005120000}"/>
    <cellStyle name="Heading 2 2 2 2" xfId="7688" xr:uid="{00000000-0005-0000-0000-000006120000}"/>
    <cellStyle name="Heading 2 2 3" xfId="7689" xr:uid="{00000000-0005-0000-0000-000007120000}"/>
    <cellStyle name="Heading 2 2 4" xfId="7690" xr:uid="{00000000-0005-0000-0000-000008120000}"/>
    <cellStyle name="Heading 2 2 5" xfId="7691" xr:uid="{00000000-0005-0000-0000-000009120000}"/>
    <cellStyle name="Heading 2 2 6" xfId="7692" xr:uid="{00000000-0005-0000-0000-00000A120000}"/>
    <cellStyle name="Heading 2 2 7" xfId="7693" xr:uid="{00000000-0005-0000-0000-00000B120000}"/>
    <cellStyle name="Heading 2 3" xfId="3089" xr:uid="{00000000-0005-0000-0000-00000C120000}"/>
    <cellStyle name="Heading 2 3 2" xfId="7694" xr:uid="{00000000-0005-0000-0000-00000D120000}"/>
    <cellStyle name="Heading 2 3 2 2" xfId="7695" xr:uid="{00000000-0005-0000-0000-00000E120000}"/>
    <cellStyle name="Heading 2 3 3" xfId="7696" xr:uid="{00000000-0005-0000-0000-00000F120000}"/>
    <cellStyle name="Heading 2 3 4" xfId="7697" xr:uid="{00000000-0005-0000-0000-000010120000}"/>
    <cellStyle name="Heading 2 4" xfId="3212" xr:uid="{00000000-0005-0000-0000-000011120000}"/>
    <cellStyle name="Heading 2 4 2" xfId="7698" xr:uid="{00000000-0005-0000-0000-000012120000}"/>
    <cellStyle name="Heading 2 5" xfId="7699" xr:uid="{00000000-0005-0000-0000-000013120000}"/>
    <cellStyle name="Heading 2 5 2" xfId="7700" xr:uid="{00000000-0005-0000-0000-000014120000}"/>
    <cellStyle name="Heading 2 6" xfId="7701" xr:uid="{00000000-0005-0000-0000-000015120000}"/>
    <cellStyle name="Heading 2 6 2" xfId="7702" xr:uid="{00000000-0005-0000-0000-000016120000}"/>
    <cellStyle name="Heading 2 7" xfId="7703" xr:uid="{00000000-0005-0000-0000-000017120000}"/>
    <cellStyle name="Heading 2 8" xfId="7704" xr:uid="{00000000-0005-0000-0000-000018120000}"/>
    <cellStyle name="Heading 2 9" xfId="7705" xr:uid="{00000000-0005-0000-0000-000019120000}"/>
    <cellStyle name="Heading 2 9 2" xfId="7706" xr:uid="{00000000-0005-0000-0000-00001A120000}"/>
    <cellStyle name="Heading 2 9 3" xfId="7707" xr:uid="{00000000-0005-0000-0000-00001B120000}"/>
    <cellStyle name="Heading 3 10" xfId="7708" xr:uid="{00000000-0005-0000-0000-00001C120000}"/>
    <cellStyle name="Heading 3 11" xfId="7709" xr:uid="{00000000-0005-0000-0000-00001D120000}"/>
    <cellStyle name="Heading 3 2" xfId="3090" xr:uid="{00000000-0005-0000-0000-00001E120000}"/>
    <cellStyle name="Heading 3 2 2" xfId="7710" xr:uid="{00000000-0005-0000-0000-00001F120000}"/>
    <cellStyle name="Heading 3 2 2 2" xfId="7711" xr:uid="{00000000-0005-0000-0000-000020120000}"/>
    <cellStyle name="Heading 3 2 3" xfId="7712" xr:uid="{00000000-0005-0000-0000-000021120000}"/>
    <cellStyle name="Heading 3 2 4" xfId="7713" xr:uid="{00000000-0005-0000-0000-000022120000}"/>
    <cellStyle name="Heading 3 2 5" xfId="7714" xr:uid="{00000000-0005-0000-0000-000023120000}"/>
    <cellStyle name="Heading 3 2 6" xfId="7715" xr:uid="{00000000-0005-0000-0000-000024120000}"/>
    <cellStyle name="Heading 3 2 7" xfId="7716" xr:uid="{00000000-0005-0000-0000-000025120000}"/>
    <cellStyle name="Heading 3 3" xfId="3091" xr:uid="{00000000-0005-0000-0000-000026120000}"/>
    <cellStyle name="Heading 3 3 2" xfId="7717" xr:uid="{00000000-0005-0000-0000-000027120000}"/>
    <cellStyle name="Heading 3 3 2 2" xfId="7718" xr:uid="{00000000-0005-0000-0000-000028120000}"/>
    <cellStyle name="Heading 3 3 3" xfId="7719" xr:uid="{00000000-0005-0000-0000-000029120000}"/>
    <cellStyle name="Heading 3 3 4" xfId="7720" xr:uid="{00000000-0005-0000-0000-00002A120000}"/>
    <cellStyle name="Heading 3 4" xfId="3213" xr:uid="{00000000-0005-0000-0000-00002B120000}"/>
    <cellStyle name="Heading 3 4 2" xfId="7721" xr:uid="{00000000-0005-0000-0000-00002C120000}"/>
    <cellStyle name="Heading 3 5" xfId="7722" xr:uid="{00000000-0005-0000-0000-00002D120000}"/>
    <cellStyle name="Heading 3 5 2" xfId="7723" xr:uid="{00000000-0005-0000-0000-00002E120000}"/>
    <cellStyle name="Heading 3 6" xfId="7724" xr:uid="{00000000-0005-0000-0000-00002F120000}"/>
    <cellStyle name="Heading 3 6 2" xfId="7725" xr:uid="{00000000-0005-0000-0000-000030120000}"/>
    <cellStyle name="Heading 3 7" xfId="7726" xr:uid="{00000000-0005-0000-0000-000031120000}"/>
    <cellStyle name="Heading 3 8" xfId="7727" xr:uid="{00000000-0005-0000-0000-000032120000}"/>
    <cellStyle name="Heading 3 9" xfId="7728" xr:uid="{00000000-0005-0000-0000-000033120000}"/>
    <cellStyle name="Heading 3 9 2" xfId="7729" xr:uid="{00000000-0005-0000-0000-000034120000}"/>
    <cellStyle name="Heading 3 9 3" xfId="7730" xr:uid="{00000000-0005-0000-0000-000035120000}"/>
    <cellStyle name="Heading 4 10" xfId="7731" xr:uid="{00000000-0005-0000-0000-000036120000}"/>
    <cellStyle name="Heading 4 11" xfId="7732" xr:uid="{00000000-0005-0000-0000-000037120000}"/>
    <cellStyle name="Heading 4 2" xfId="3092" xr:uid="{00000000-0005-0000-0000-000038120000}"/>
    <cellStyle name="Heading 4 2 2" xfId="7733" xr:uid="{00000000-0005-0000-0000-000039120000}"/>
    <cellStyle name="Heading 4 2 2 2" xfId="7734" xr:uid="{00000000-0005-0000-0000-00003A120000}"/>
    <cellStyle name="Heading 4 2 3" xfId="7735" xr:uid="{00000000-0005-0000-0000-00003B120000}"/>
    <cellStyle name="Heading 4 2 4" xfId="7736" xr:uid="{00000000-0005-0000-0000-00003C120000}"/>
    <cellStyle name="Heading 4 2 5" xfId="7737" xr:uid="{00000000-0005-0000-0000-00003D120000}"/>
    <cellStyle name="Heading 4 2 6" xfId="7738" xr:uid="{00000000-0005-0000-0000-00003E120000}"/>
    <cellStyle name="Heading 4 2 7" xfId="7739" xr:uid="{00000000-0005-0000-0000-00003F120000}"/>
    <cellStyle name="Heading 4 3" xfId="3093" xr:uid="{00000000-0005-0000-0000-000040120000}"/>
    <cellStyle name="Heading 4 3 2" xfId="7740" xr:uid="{00000000-0005-0000-0000-000041120000}"/>
    <cellStyle name="Heading 4 3 2 2" xfId="7741" xr:uid="{00000000-0005-0000-0000-000042120000}"/>
    <cellStyle name="Heading 4 3 3" xfId="7742" xr:uid="{00000000-0005-0000-0000-000043120000}"/>
    <cellStyle name="Heading 4 3 4" xfId="7743" xr:uid="{00000000-0005-0000-0000-000044120000}"/>
    <cellStyle name="Heading 4 4" xfId="3214" xr:uid="{00000000-0005-0000-0000-000045120000}"/>
    <cellStyle name="Heading 4 4 2" xfId="7744" xr:uid="{00000000-0005-0000-0000-000046120000}"/>
    <cellStyle name="Heading 4 5" xfId="7745" xr:uid="{00000000-0005-0000-0000-000047120000}"/>
    <cellStyle name="Heading 4 5 2" xfId="7746" xr:uid="{00000000-0005-0000-0000-000048120000}"/>
    <cellStyle name="Heading 4 6" xfId="7747" xr:uid="{00000000-0005-0000-0000-000049120000}"/>
    <cellStyle name="Heading 4 6 2" xfId="7748" xr:uid="{00000000-0005-0000-0000-00004A120000}"/>
    <cellStyle name="Heading 4 7" xfId="7749" xr:uid="{00000000-0005-0000-0000-00004B120000}"/>
    <cellStyle name="Heading 4 8" xfId="7750" xr:uid="{00000000-0005-0000-0000-00004C120000}"/>
    <cellStyle name="Heading 4 9" xfId="7751" xr:uid="{00000000-0005-0000-0000-00004D120000}"/>
    <cellStyle name="Heading 4 9 2" xfId="7752" xr:uid="{00000000-0005-0000-0000-00004E120000}"/>
    <cellStyle name="Heading 4 9 3" xfId="7753" xr:uid="{00000000-0005-0000-0000-00004F120000}"/>
    <cellStyle name="Heading1" xfId="3094" xr:uid="{00000000-0005-0000-0000-000050120000}"/>
    <cellStyle name="Heading1 10" xfId="7754" xr:uid="{00000000-0005-0000-0000-000051120000}"/>
    <cellStyle name="Heading1 11" xfId="7755" xr:uid="{00000000-0005-0000-0000-000052120000}"/>
    <cellStyle name="Heading1 12" xfId="7756" xr:uid="{00000000-0005-0000-0000-000053120000}"/>
    <cellStyle name="Heading1 13" xfId="7757" xr:uid="{00000000-0005-0000-0000-000054120000}"/>
    <cellStyle name="Heading1 14" xfId="7758" xr:uid="{00000000-0005-0000-0000-000055120000}"/>
    <cellStyle name="Heading1 15" xfId="7759" xr:uid="{00000000-0005-0000-0000-000056120000}"/>
    <cellStyle name="Heading1 16" xfId="7760" xr:uid="{00000000-0005-0000-0000-000057120000}"/>
    <cellStyle name="Heading1 17" xfId="7761" xr:uid="{00000000-0005-0000-0000-000058120000}"/>
    <cellStyle name="Heading1 18" xfId="7762" xr:uid="{00000000-0005-0000-0000-000059120000}"/>
    <cellStyle name="Heading1 19" xfId="7763" xr:uid="{00000000-0005-0000-0000-00005A120000}"/>
    <cellStyle name="Heading1 2" xfId="7764" xr:uid="{00000000-0005-0000-0000-00005B120000}"/>
    <cellStyle name="Heading1 2 2" xfId="7765" xr:uid="{00000000-0005-0000-0000-00005C120000}"/>
    <cellStyle name="Heading1 2 2 2" xfId="7766" xr:uid="{00000000-0005-0000-0000-00005D120000}"/>
    <cellStyle name="Heading1 2 2 2 2" xfId="7767" xr:uid="{00000000-0005-0000-0000-00005E120000}"/>
    <cellStyle name="Heading1 2 2 3" xfId="7768" xr:uid="{00000000-0005-0000-0000-00005F120000}"/>
    <cellStyle name="Heading1 2 2_Actual" xfId="7769" xr:uid="{00000000-0005-0000-0000-000060120000}"/>
    <cellStyle name="Heading1 2 3" xfId="7770" xr:uid="{00000000-0005-0000-0000-000061120000}"/>
    <cellStyle name="Heading1 2 3 2" xfId="7771" xr:uid="{00000000-0005-0000-0000-000062120000}"/>
    <cellStyle name="Heading1 2 4" xfId="7772" xr:uid="{00000000-0005-0000-0000-000063120000}"/>
    <cellStyle name="Heading1 2 4 2" xfId="7773" xr:uid="{00000000-0005-0000-0000-000064120000}"/>
    <cellStyle name="Heading1 2 4 2 2" xfId="7774" xr:uid="{00000000-0005-0000-0000-000065120000}"/>
    <cellStyle name="Heading1 2 4 3" xfId="7775" xr:uid="{00000000-0005-0000-0000-000066120000}"/>
    <cellStyle name="Heading1 2 4_Actual" xfId="7776" xr:uid="{00000000-0005-0000-0000-000067120000}"/>
    <cellStyle name="Heading1 2 5" xfId="7777" xr:uid="{00000000-0005-0000-0000-000068120000}"/>
    <cellStyle name="Heading1 2 6" xfId="7778" xr:uid="{00000000-0005-0000-0000-000069120000}"/>
    <cellStyle name="Heading1 2 7" xfId="7779" xr:uid="{00000000-0005-0000-0000-00006A120000}"/>
    <cellStyle name="Heading1 2_120110 NFC Risk Flash" xfId="7780" xr:uid="{00000000-0005-0000-0000-00006B120000}"/>
    <cellStyle name="Heading1 20" xfId="7781" xr:uid="{00000000-0005-0000-0000-00006C120000}"/>
    <cellStyle name="Heading1 21" xfId="7782" xr:uid="{00000000-0005-0000-0000-00006D120000}"/>
    <cellStyle name="Heading1 22" xfId="7783" xr:uid="{00000000-0005-0000-0000-00006E120000}"/>
    <cellStyle name="Heading1 23" xfId="7784" xr:uid="{00000000-0005-0000-0000-00006F120000}"/>
    <cellStyle name="Heading1 24" xfId="7785" xr:uid="{00000000-0005-0000-0000-000070120000}"/>
    <cellStyle name="Heading1 25" xfId="7786" xr:uid="{00000000-0005-0000-0000-000071120000}"/>
    <cellStyle name="Heading1 26" xfId="7787" xr:uid="{00000000-0005-0000-0000-000072120000}"/>
    <cellStyle name="Heading1 27" xfId="7788" xr:uid="{00000000-0005-0000-0000-000073120000}"/>
    <cellStyle name="Heading1 28" xfId="7789" xr:uid="{00000000-0005-0000-0000-000074120000}"/>
    <cellStyle name="Heading1 29" xfId="7790" xr:uid="{00000000-0005-0000-0000-000075120000}"/>
    <cellStyle name="Heading1 3" xfId="7791" xr:uid="{00000000-0005-0000-0000-000076120000}"/>
    <cellStyle name="Heading1 3 2" xfId="7792" xr:uid="{00000000-0005-0000-0000-000077120000}"/>
    <cellStyle name="Heading1 3 2 2" xfId="7793" xr:uid="{00000000-0005-0000-0000-000078120000}"/>
    <cellStyle name="Heading1 3 3" xfId="7794" xr:uid="{00000000-0005-0000-0000-000079120000}"/>
    <cellStyle name="Heading1 3 4" xfId="7795" xr:uid="{00000000-0005-0000-0000-00007A120000}"/>
    <cellStyle name="Heading1 3 5" xfId="7796" xr:uid="{00000000-0005-0000-0000-00007B120000}"/>
    <cellStyle name="Heading1 3 6" xfId="7797" xr:uid="{00000000-0005-0000-0000-00007C120000}"/>
    <cellStyle name="Heading1 3 7" xfId="7798" xr:uid="{00000000-0005-0000-0000-00007D120000}"/>
    <cellStyle name="Heading1 3_120110 NFC Risk Flash" xfId="7799" xr:uid="{00000000-0005-0000-0000-00007E120000}"/>
    <cellStyle name="Heading1 30" xfId="7800" xr:uid="{00000000-0005-0000-0000-00007F120000}"/>
    <cellStyle name="Heading1 4" xfId="7801" xr:uid="{00000000-0005-0000-0000-000080120000}"/>
    <cellStyle name="Heading1 4 2" xfId="7802" xr:uid="{00000000-0005-0000-0000-000081120000}"/>
    <cellStyle name="Heading1 5" xfId="7803" xr:uid="{00000000-0005-0000-0000-000082120000}"/>
    <cellStyle name="Heading1 5 2" xfId="7804" xr:uid="{00000000-0005-0000-0000-000083120000}"/>
    <cellStyle name="Heading1 5 2 2" xfId="7805" xr:uid="{00000000-0005-0000-0000-000084120000}"/>
    <cellStyle name="Heading1 5 3" xfId="7806" xr:uid="{00000000-0005-0000-0000-000085120000}"/>
    <cellStyle name="Heading1 5_Actual" xfId="7807" xr:uid="{00000000-0005-0000-0000-000086120000}"/>
    <cellStyle name="Heading1 6" xfId="7808" xr:uid="{00000000-0005-0000-0000-000087120000}"/>
    <cellStyle name="Heading1 7" xfId="7809" xr:uid="{00000000-0005-0000-0000-000088120000}"/>
    <cellStyle name="Heading1 8" xfId="7810" xr:uid="{00000000-0005-0000-0000-000089120000}"/>
    <cellStyle name="Heading1 9" xfId="7811" xr:uid="{00000000-0005-0000-0000-00008A120000}"/>
    <cellStyle name="Heading1_Actual" xfId="7812" xr:uid="{00000000-0005-0000-0000-00008B120000}"/>
    <cellStyle name="Heading2" xfId="3095" xr:uid="{00000000-0005-0000-0000-00008C120000}"/>
    <cellStyle name="Heading2 10" xfId="7813" xr:uid="{00000000-0005-0000-0000-00008D120000}"/>
    <cellStyle name="Heading2 11" xfId="7814" xr:uid="{00000000-0005-0000-0000-00008E120000}"/>
    <cellStyle name="Heading2 12" xfId="7815" xr:uid="{00000000-0005-0000-0000-00008F120000}"/>
    <cellStyle name="Heading2 13" xfId="7816" xr:uid="{00000000-0005-0000-0000-000090120000}"/>
    <cellStyle name="Heading2 14" xfId="7817" xr:uid="{00000000-0005-0000-0000-000091120000}"/>
    <cellStyle name="Heading2 15" xfId="7818" xr:uid="{00000000-0005-0000-0000-000092120000}"/>
    <cellStyle name="Heading2 16" xfId="7819" xr:uid="{00000000-0005-0000-0000-000093120000}"/>
    <cellStyle name="Heading2 17" xfId="7820" xr:uid="{00000000-0005-0000-0000-000094120000}"/>
    <cellStyle name="Heading2 18" xfId="7821" xr:uid="{00000000-0005-0000-0000-000095120000}"/>
    <cellStyle name="Heading2 19" xfId="7822" xr:uid="{00000000-0005-0000-0000-000096120000}"/>
    <cellStyle name="Heading2 2" xfId="7823" xr:uid="{00000000-0005-0000-0000-000097120000}"/>
    <cellStyle name="Heading2 2 2" xfId="7824" xr:uid="{00000000-0005-0000-0000-000098120000}"/>
    <cellStyle name="Heading2 2 2 2" xfId="7825" xr:uid="{00000000-0005-0000-0000-000099120000}"/>
    <cellStyle name="Heading2 2 2 2 2" xfId="7826" xr:uid="{00000000-0005-0000-0000-00009A120000}"/>
    <cellStyle name="Heading2 2 2 3" xfId="7827" xr:uid="{00000000-0005-0000-0000-00009B120000}"/>
    <cellStyle name="Heading2 2 2_Actual" xfId="7828" xr:uid="{00000000-0005-0000-0000-00009C120000}"/>
    <cellStyle name="Heading2 2 3" xfId="7829" xr:uid="{00000000-0005-0000-0000-00009D120000}"/>
    <cellStyle name="Heading2 2 3 2" xfId="7830" xr:uid="{00000000-0005-0000-0000-00009E120000}"/>
    <cellStyle name="Heading2 2 4" xfId="7831" xr:uid="{00000000-0005-0000-0000-00009F120000}"/>
    <cellStyle name="Heading2 2 4 2" xfId="7832" xr:uid="{00000000-0005-0000-0000-0000A0120000}"/>
    <cellStyle name="Heading2 2 4 2 2" xfId="7833" xr:uid="{00000000-0005-0000-0000-0000A1120000}"/>
    <cellStyle name="Heading2 2 4 3" xfId="7834" xr:uid="{00000000-0005-0000-0000-0000A2120000}"/>
    <cellStyle name="Heading2 2 4_Actual" xfId="7835" xr:uid="{00000000-0005-0000-0000-0000A3120000}"/>
    <cellStyle name="Heading2 2 5" xfId="7836" xr:uid="{00000000-0005-0000-0000-0000A4120000}"/>
    <cellStyle name="Heading2 2 6" xfId="7837" xr:uid="{00000000-0005-0000-0000-0000A5120000}"/>
    <cellStyle name="Heading2 2 7" xfId="7838" xr:uid="{00000000-0005-0000-0000-0000A6120000}"/>
    <cellStyle name="Heading2 2_120110 NFC Risk Flash" xfId="7839" xr:uid="{00000000-0005-0000-0000-0000A7120000}"/>
    <cellStyle name="Heading2 20" xfId="7840" xr:uid="{00000000-0005-0000-0000-0000A8120000}"/>
    <cellStyle name="Heading2 21" xfId="7841" xr:uid="{00000000-0005-0000-0000-0000A9120000}"/>
    <cellStyle name="Heading2 22" xfId="7842" xr:uid="{00000000-0005-0000-0000-0000AA120000}"/>
    <cellStyle name="Heading2 23" xfId="7843" xr:uid="{00000000-0005-0000-0000-0000AB120000}"/>
    <cellStyle name="Heading2 24" xfId="7844" xr:uid="{00000000-0005-0000-0000-0000AC120000}"/>
    <cellStyle name="Heading2 25" xfId="7845" xr:uid="{00000000-0005-0000-0000-0000AD120000}"/>
    <cellStyle name="Heading2 26" xfId="7846" xr:uid="{00000000-0005-0000-0000-0000AE120000}"/>
    <cellStyle name="Heading2 27" xfId="7847" xr:uid="{00000000-0005-0000-0000-0000AF120000}"/>
    <cellStyle name="Heading2 28" xfId="7848" xr:uid="{00000000-0005-0000-0000-0000B0120000}"/>
    <cellStyle name="Heading2 29" xfId="7849" xr:uid="{00000000-0005-0000-0000-0000B1120000}"/>
    <cellStyle name="Heading2 3" xfId="7850" xr:uid="{00000000-0005-0000-0000-0000B2120000}"/>
    <cellStyle name="Heading2 3 2" xfId="7851" xr:uid="{00000000-0005-0000-0000-0000B3120000}"/>
    <cellStyle name="Heading2 3 2 2" xfId="7852" xr:uid="{00000000-0005-0000-0000-0000B4120000}"/>
    <cellStyle name="Heading2 3 3" xfId="7853" xr:uid="{00000000-0005-0000-0000-0000B5120000}"/>
    <cellStyle name="Heading2 3 4" xfId="7854" xr:uid="{00000000-0005-0000-0000-0000B6120000}"/>
    <cellStyle name="Heading2 3 5" xfId="7855" xr:uid="{00000000-0005-0000-0000-0000B7120000}"/>
    <cellStyle name="Heading2 3 6" xfId="7856" xr:uid="{00000000-0005-0000-0000-0000B8120000}"/>
    <cellStyle name="Heading2 3 7" xfId="7857" xr:uid="{00000000-0005-0000-0000-0000B9120000}"/>
    <cellStyle name="Heading2 3_120110 NFC Risk Flash" xfId="7858" xr:uid="{00000000-0005-0000-0000-0000BA120000}"/>
    <cellStyle name="Heading2 30" xfId="7859" xr:uid="{00000000-0005-0000-0000-0000BB120000}"/>
    <cellStyle name="Heading2 4" xfId="7860" xr:uid="{00000000-0005-0000-0000-0000BC120000}"/>
    <cellStyle name="Heading2 4 2" xfId="7861" xr:uid="{00000000-0005-0000-0000-0000BD120000}"/>
    <cellStyle name="Heading2 5" xfId="7862" xr:uid="{00000000-0005-0000-0000-0000BE120000}"/>
    <cellStyle name="Heading2 5 2" xfId="7863" xr:uid="{00000000-0005-0000-0000-0000BF120000}"/>
    <cellStyle name="Heading2 5 2 2" xfId="7864" xr:uid="{00000000-0005-0000-0000-0000C0120000}"/>
    <cellStyle name="Heading2 5 3" xfId="7865" xr:uid="{00000000-0005-0000-0000-0000C1120000}"/>
    <cellStyle name="Heading2 5_Actual" xfId="7866" xr:uid="{00000000-0005-0000-0000-0000C2120000}"/>
    <cellStyle name="Heading2 6" xfId="7867" xr:uid="{00000000-0005-0000-0000-0000C3120000}"/>
    <cellStyle name="Heading2 7" xfId="7868" xr:uid="{00000000-0005-0000-0000-0000C4120000}"/>
    <cellStyle name="Heading2 8" xfId="7869" xr:uid="{00000000-0005-0000-0000-0000C5120000}"/>
    <cellStyle name="Heading2 9" xfId="7870" xr:uid="{00000000-0005-0000-0000-0000C6120000}"/>
    <cellStyle name="Heading2_Actual" xfId="7871" xr:uid="{00000000-0005-0000-0000-0000C7120000}"/>
    <cellStyle name="HEADINGS" xfId="7872" xr:uid="{00000000-0005-0000-0000-0000C8120000}"/>
    <cellStyle name="HeadlineStyle" xfId="7873" xr:uid="{00000000-0005-0000-0000-0000C9120000}"/>
    <cellStyle name="HeadlineStyle 10" xfId="7874" xr:uid="{00000000-0005-0000-0000-0000CA120000}"/>
    <cellStyle name="HeadlineStyle 11" xfId="7875" xr:uid="{00000000-0005-0000-0000-0000CB120000}"/>
    <cellStyle name="HeadlineStyle 12" xfId="7876" xr:uid="{00000000-0005-0000-0000-0000CC120000}"/>
    <cellStyle name="HeadlineStyle 13" xfId="7877" xr:uid="{00000000-0005-0000-0000-0000CD120000}"/>
    <cellStyle name="HeadlineStyle 14" xfId="7878" xr:uid="{00000000-0005-0000-0000-0000CE120000}"/>
    <cellStyle name="HeadlineStyle 15" xfId="7879" xr:uid="{00000000-0005-0000-0000-0000CF120000}"/>
    <cellStyle name="HeadlineStyle 16" xfId="7880" xr:uid="{00000000-0005-0000-0000-0000D0120000}"/>
    <cellStyle name="HeadlineStyle 17" xfId="7881" xr:uid="{00000000-0005-0000-0000-0000D1120000}"/>
    <cellStyle name="HeadlineStyle 18" xfId="7882" xr:uid="{00000000-0005-0000-0000-0000D2120000}"/>
    <cellStyle name="HeadlineStyle 19" xfId="7883" xr:uid="{00000000-0005-0000-0000-0000D3120000}"/>
    <cellStyle name="HeadlineStyle 2" xfId="7884" xr:uid="{00000000-0005-0000-0000-0000D4120000}"/>
    <cellStyle name="HeadlineStyle 20" xfId="7885" xr:uid="{00000000-0005-0000-0000-0000D5120000}"/>
    <cellStyle name="HeadlineStyle 21" xfId="7886" xr:uid="{00000000-0005-0000-0000-0000D6120000}"/>
    <cellStyle name="HeadlineStyle 22" xfId="7887" xr:uid="{00000000-0005-0000-0000-0000D7120000}"/>
    <cellStyle name="HeadlineStyle 23" xfId="7888" xr:uid="{00000000-0005-0000-0000-0000D8120000}"/>
    <cellStyle name="HeadlineStyle 24" xfId="7889" xr:uid="{00000000-0005-0000-0000-0000D9120000}"/>
    <cellStyle name="HeadlineStyle 25" xfId="7890" xr:uid="{00000000-0005-0000-0000-0000DA120000}"/>
    <cellStyle name="HeadlineStyle 26" xfId="7891" xr:uid="{00000000-0005-0000-0000-0000DB120000}"/>
    <cellStyle name="HeadlineStyle 27" xfId="7892" xr:uid="{00000000-0005-0000-0000-0000DC120000}"/>
    <cellStyle name="HeadlineStyle 28" xfId="7893" xr:uid="{00000000-0005-0000-0000-0000DD120000}"/>
    <cellStyle name="HeadlineStyle 29" xfId="7894" xr:uid="{00000000-0005-0000-0000-0000DE120000}"/>
    <cellStyle name="HeadlineStyle 3" xfId="7895" xr:uid="{00000000-0005-0000-0000-0000DF120000}"/>
    <cellStyle name="HeadlineStyle 30" xfId="7896" xr:uid="{00000000-0005-0000-0000-0000E0120000}"/>
    <cellStyle name="HeadlineStyle 4" xfId="7897" xr:uid="{00000000-0005-0000-0000-0000E1120000}"/>
    <cellStyle name="HeadlineStyle 5" xfId="7898" xr:uid="{00000000-0005-0000-0000-0000E2120000}"/>
    <cellStyle name="HeadlineStyle 6" xfId="7899" xr:uid="{00000000-0005-0000-0000-0000E3120000}"/>
    <cellStyle name="HeadlineStyle 7" xfId="7900" xr:uid="{00000000-0005-0000-0000-0000E4120000}"/>
    <cellStyle name="HeadlineStyle 8" xfId="7901" xr:uid="{00000000-0005-0000-0000-0000E5120000}"/>
    <cellStyle name="HeadlineStyle 9" xfId="7902" xr:uid="{00000000-0005-0000-0000-0000E6120000}"/>
    <cellStyle name="HeadlineStyleJustified" xfId="7903" xr:uid="{00000000-0005-0000-0000-0000E7120000}"/>
    <cellStyle name="HeadlineStyleJustified 10" xfId="7904" xr:uid="{00000000-0005-0000-0000-0000E8120000}"/>
    <cellStyle name="HeadlineStyleJustified 11" xfId="7905" xr:uid="{00000000-0005-0000-0000-0000E9120000}"/>
    <cellStyle name="HeadlineStyleJustified 12" xfId="7906" xr:uid="{00000000-0005-0000-0000-0000EA120000}"/>
    <cellStyle name="HeadlineStyleJustified 13" xfId="7907" xr:uid="{00000000-0005-0000-0000-0000EB120000}"/>
    <cellStyle name="HeadlineStyleJustified 14" xfId="7908" xr:uid="{00000000-0005-0000-0000-0000EC120000}"/>
    <cellStyle name="HeadlineStyleJustified 15" xfId="7909" xr:uid="{00000000-0005-0000-0000-0000ED120000}"/>
    <cellStyle name="HeadlineStyleJustified 16" xfId="7910" xr:uid="{00000000-0005-0000-0000-0000EE120000}"/>
    <cellStyle name="HeadlineStyleJustified 17" xfId="7911" xr:uid="{00000000-0005-0000-0000-0000EF120000}"/>
    <cellStyle name="HeadlineStyleJustified 18" xfId="7912" xr:uid="{00000000-0005-0000-0000-0000F0120000}"/>
    <cellStyle name="HeadlineStyleJustified 19" xfId="7913" xr:uid="{00000000-0005-0000-0000-0000F1120000}"/>
    <cellStyle name="HeadlineStyleJustified 2" xfId="7914" xr:uid="{00000000-0005-0000-0000-0000F2120000}"/>
    <cellStyle name="HeadlineStyleJustified 20" xfId="7915" xr:uid="{00000000-0005-0000-0000-0000F3120000}"/>
    <cellStyle name="HeadlineStyleJustified 21" xfId="7916" xr:uid="{00000000-0005-0000-0000-0000F4120000}"/>
    <cellStyle name="HeadlineStyleJustified 22" xfId="7917" xr:uid="{00000000-0005-0000-0000-0000F5120000}"/>
    <cellStyle name="HeadlineStyleJustified 23" xfId="7918" xr:uid="{00000000-0005-0000-0000-0000F6120000}"/>
    <cellStyle name="HeadlineStyleJustified 24" xfId="7919" xr:uid="{00000000-0005-0000-0000-0000F7120000}"/>
    <cellStyle name="HeadlineStyleJustified 25" xfId="7920" xr:uid="{00000000-0005-0000-0000-0000F8120000}"/>
    <cellStyle name="HeadlineStyleJustified 26" xfId="7921" xr:uid="{00000000-0005-0000-0000-0000F9120000}"/>
    <cellStyle name="HeadlineStyleJustified 27" xfId="7922" xr:uid="{00000000-0005-0000-0000-0000FA120000}"/>
    <cellStyle name="HeadlineStyleJustified 28" xfId="7923" xr:uid="{00000000-0005-0000-0000-0000FB120000}"/>
    <cellStyle name="HeadlineStyleJustified 29" xfId="7924" xr:uid="{00000000-0005-0000-0000-0000FC120000}"/>
    <cellStyle name="HeadlineStyleJustified 3" xfId="7925" xr:uid="{00000000-0005-0000-0000-0000FD120000}"/>
    <cellStyle name="HeadlineStyleJustified 30" xfId="7926" xr:uid="{00000000-0005-0000-0000-0000FE120000}"/>
    <cellStyle name="HeadlineStyleJustified 4" xfId="7927" xr:uid="{00000000-0005-0000-0000-0000FF120000}"/>
    <cellStyle name="HeadlineStyleJustified 5" xfId="7928" xr:uid="{00000000-0005-0000-0000-000000130000}"/>
    <cellStyle name="HeadlineStyleJustified 6" xfId="7929" xr:uid="{00000000-0005-0000-0000-000001130000}"/>
    <cellStyle name="HeadlineStyleJustified 7" xfId="7930" xr:uid="{00000000-0005-0000-0000-000002130000}"/>
    <cellStyle name="HeadlineStyleJustified 8" xfId="7931" xr:uid="{00000000-0005-0000-0000-000003130000}"/>
    <cellStyle name="HeadlineStyleJustified 9" xfId="7932" xr:uid="{00000000-0005-0000-0000-000004130000}"/>
    <cellStyle name="Hidden" xfId="7933" xr:uid="{00000000-0005-0000-0000-000005130000}"/>
    <cellStyle name="Hidden 10" xfId="7934" xr:uid="{00000000-0005-0000-0000-000006130000}"/>
    <cellStyle name="Hidden 11" xfId="7935" xr:uid="{00000000-0005-0000-0000-000007130000}"/>
    <cellStyle name="Hidden 12" xfId="7936" xr:uid="{00000000-0005-0000-0000-000008130000}"/>
    <cellStyle name="Hidden 13" xfId="7937" xr:uid="{00000000-0005-0000-0000-000009130000}"/>
    <cellStyle name="Hidden 14" xfId="7938" xr:uid="{00000000-0005-0000-0000-00000A130000}"/>
    <cellStyle name="Hidden 15" xfId="7939" xr:uid="{00000000-0005-0000-0000-00000B130000}"/>
    <cellStyle name="Hidden 16" xfId="7940" xr:uid="{00000000-0005-0000-0000-00000C130000}"/>
    <cellStyle name="Hidden 17" xfId="7941" xr:uid="{00000000-0005-0000-0000-00000D130000}"/>
    <cellStyle name="Hidden 18" xfId="7942" xr:uid="{00000000-0005-0000-0000-00000E130000}"/>
    <cellStyle name="Hidden 19" xfId="7943" xr:uid="{00000000-0005-0000-0000-00000F130000}"/>
    <cellStyle name="Hidden 2" xfId="7944" xr:uid="{00000000-0005-0000-0000-000010130000}"/>
    <cellStyle name="Hidden 20" xfId="7945" xr:uid="{00000000-0005-0000-0000-000011130000}"/>
    <cellStyle name="Hidden 21" xfId="7946" xr:uid="{00000000-0005-0000-0000-000012130000}"/>
    <cellStyle name="Hidden 22" xfId="7947" xr:uid="{00000000-0005-0000-0000-000013130000}"/>
    <cellStyle name="Hidden 23" xfId="7948" xr:uid="{00000000-0005-0000-0000-000014130000}"/>
    <cellStyle name="Hidden 24" xfId="7949" xr:uid="{00000000-0005-0000-0000-000015130000}"/>
    <cellStyle name="Hidden 25" xfId="7950" xr:uid="{00000000-0005-0000-0000-000016130000}"/>
    <cellStyle name="Hidden 26" xfId="7951" xr:uid="{00000000-0005-0000-0000-000017130000}"/>
    <cellStyle name="Hidden 27" xfId="7952" xr:uid="{00000000-0005-0000-0000-000018130000}"/>
    <cellStyle name="Hidden 28" xfId="7953" xr:uid="{00000000-0005-0000-0000-000019130000}"/>
    <cellStyle name="Hidden 29" xfId="7954" xr:uid="{00000000-0005-0000-0000-00001A130000}"/>
    <cellStyle name="Hidden 3" xfId="7955" xr:uid="{00000000-0005-0000-0000-00001B130000}"/>
    <cellStyle name="Hidden 30" xfId="7956" xr:uid="{00000000-0005-0000-0000-00001C130000}"/>
    <cellStyle name="Hidden 4" xfId="7957" xr:uid="{00000000-0005-0000-0000-00001D130000}"/>
    <cellStyle name="Hidden 5" xfId="7958" xr:uid="{00000000-0005-0000-0000-00001E130000}"/>
    <cellStyle name="Hidden 6" xfId="7959" xr:uid="{00000000-0005-0000-0000-00001F130000}"/>
    <cellStyle name="Hidden 7" xfId="7960" xr:uid="{00000000-0005-0000-0000-000020130000}"/>
    <cellStyle name="Hidden 8" xfId="7961" xr:uid="{00000000-0005-0000-0000-000021130000}"/>
    <cellStyle name="Hidden 9" xfId="7962" xr:uid="{00000000-0005-0000-0000-000022130000}"/>
    <cellStyle name="HIGHLIGHT" xfId="3096" xr:uid="{00000000-0005-0000-0000-000023130000}"/>
    <cellStyle name="HIGHLIGHT 2" xfId="7963" xr:uid="{00000000-0005-0000-0000-000024130000}"/>
    <cellStyle name="HIGHLIGHT 3" xfId="7964" xr:uid="{00000000-0005-0000-0000-000025130000}"/>
    <cellStyle name="Hyperlink 2" xfId="3097" xr:uid="{00000000-0005-0000-0000-000026130000}"/>
    <cellStyle name="Hyperlink 2 2" xfId="7965" xr:uid="{00000000-0005-0000-0000-000027130000}"/>
    <cellStyle name="Hyperlink 3" xfId="16888" xr:uid="{00000000-0005-0000-0000-000028130000}"/>
    <cellStyle name="Input [yellow]" xfId="3098" xr:uid="{00000000-0005-0000-0000-000029130000}"/>
    <cellStyle name="Input [yellow] 10" xfId="7966" xr:uid="{00000000-0005-0000-0000-00002A130000}"/>
    <cellStyle name="Input [yellow] 11" xfId="7967" xr:uid="{00000000-0005-0000-0000-00002B130000}"/>
    <cellStyle name="Input [yellow] 12" xfId="7968" xr:uid="{00000000-0005-0000-0000-00002C130000}"/>
    <cellStyle name="Input [yellow] 13" xfId="7969" xr:uid="{00000000-0005-0000-0000-00002D130000}"/>
    <cellStyle name="Input [yellow] 14" xfId="7970" xr:uid="{00000000-0005-0000-0000-00002E130000}"/>
    <cellStyle name="Input [yellow] 15" xfId="7971" xr:uid="{00000000-0005-0000-0000-00002F130000}"/>
    <cellStyle name="Input [yellow] 16" xfId="7972" xr:uid="{00000000-0005-0000-0000-000030130000}"/>
    <cellStyle name="Input [yellow] 17" xfId="7973" xr:uid="{00000000-0005-0000-0000-000031130000}"/>
    <cellStyle name="Input [yellow] 18" xfId="7974" xr:uid="{00000000-0005-0000-0000-000032130000}"/>
    <cellStyle name="Input [yellow] 19" xfId="7975" xr:uid="{00000000-0005-0000-0000-000033130000}"/>
    <cellStyle name="Input [yellow] 2" xfId="7976" xr:uid="{00000000-0005-0000-0000-000034130000}"/>
    <cellStyle name="Input [yellow] 20" xfId="7977" xr:uid="{00000000-0005-0000-0000-000035130000}"/>
    <cellStyle name="Input [yellow] 21" xfId="7978" xr:uid="{00000000-0005-0000-0000-000036130000}"/>
    <cellStyle name="Input [yellow] 22" xfId="7979" xr:uid="{00000000-0005-0000-0000-000037130000}"/>
    <cellStyle name="Input [yellow] 23" xfId="7980" xr:uid="{00000000-0005-0000-0000-000038130000}"/>
    <cellStyle name="Input [yellow] 24" xfId="7981" xr:uid="{00000000-0005-0000-0000-000039130000}"/>
    <cellStyle name="Input [yellow] 25" xfId="7982" xr:uid="{00000000-0005-0000-0000-00003A130000}"/>
    <cellStyle name="Input [yellow] 26" xfId="7983" xr:uid="{00000000-0005-0000-0000-00003B130000}"/>
    <cellStyle name="Input [yellow] 27" xfId="7984" xr:uid="{00000000-0005-0000-0000-00003C130000}"/>
    <cellStyle name="Input [yellow] 28" xfId="7985" xr:uid="{00000000-0005-0000-0000-00003D130000}"/>
    <cellStyle name="Input [yellow] 29" xfId="7986" xr:uid="{00000000-0005-0000-0000-00003E130000}"/>
    <cellStyle name="Input [yellow] 3" xfId="7987" xr:uid="{00000000-0005-0000-0000-00003F130000}"/>
    <cellStyle name="Input [yellow] 30" xfId="7988" xr:uid="{00000000-0005-0000-0000-000040130000}"/>
    <cellStyle name="Input [yellow] 4" xfId="7989" xr:uid="{00000000-0005-0000-0000-000041130000}"/>
    <cellStyle name="Input [yellow] 5" xfId="7990" xr:uid="{00000000-0005-0000-0000-000042130000}"/>
    <cellStyle name="Input [yellow] 6" xfId="7991" xr:uid="{00000000-0005-0000-0000-000043130000}"/>
    <cellStyle name="Input [yellow] 7" xfId="7992" xr:uid="{00000000-0005-0000-0000-000044130000}"/>
    <cellStyle name="Input [yellow] 8" xfId="7993" xr:uid="{00000000-0005-0000-0000-000045130000}"/>
    <cellStyle name="Input [yellow] 9" xfId="7994" xr:uid="{00000000-0005-0000-0000-000046130000}"/>
    <cellStyle name="Input 10" xfId="7995" xr:uid="{00000000-0005-0000-0000-000047130000}"/>
    <cellStyle name="Input 10 2" xfId="7996" xr:uid="{00000000-0005-0000-0000-000048130000}"/>
    <cellStyle name="Input 10 3" xfId="7997" xr:uid="{00000000-0005-0000-0000-000049130000}"/>
    <cellStyle name="Input 100" xfId="7998" xr:uid="{00000000-0005-0000-0000-00004A130000}"/>
    <cellStyle name="Input 101" xfId="7999" xr:uid="{00000000-0005-0000-0000-00004B130000}"/>
    <cellStyle name="Input 102" xfId="8000" xr:uid="{00000000-0005-0000-0000-00004C130000}"/>
    <cellStyle name="Input 103" xfId="8001" xr:uid="{00000000-0005-0000-0000-00004D130000}"/>
    <cellStyle name="Input 104" xfId="8002" xr:uid="{00000000-0005-0000-0000-00004E130000}"/>
    <cellStyle name="Input 105" xfId="8003" xr:uid="{00000000-0005-0000-0000-00004F130000}"/>
    <cellStyle name="Input 106" xfId="8004" xr:uid="{00000000-0005-0000-0000-000050130000}"/>
    <cellStyle name="Input 107" xfId="8005" xr:uid="{00000000-0005-0000-0000-000051130000}"/>
    <cellStyle name="Input 108" xfId="8006" xr:uid="{00000000-0005-0000-0000-000052130000}"/>
    <cellStyle name="Input 109" xfId="8007" xr:uid="{00000000-0005-0000-0000-000053130000}"/>
    <cellStyle name="Input 11" xfId="8008" xr:uid="{00000000-0005-0000-0000-000054130000}"/>
    <cellStyle name="Input 11 2" xfId="8009" xr:uid="{00000000-0005-0000-0000-000055130000}"/>
    <cellStyle name="Input 11 3" xfId="8010" xr:uid="{00000000-0005-0000-0000-000056130000}"/>
    <cellStyle name="Input 110" xfId="8011" xr:uid="{00000000-0005-0000-0000-000057130000}"/>
    <cellStyle name="Input 111" xfId="8012" xr:uid="{00000000-0005-0000-0000-000058130000}"/>
    <cellStyle name="Input 112" xfId="8013" xr:uid="{00000000-0005-0000-0000-000059130000}"/>
    <cellStyle name="Input 113" xfId="8014" xr:uid="{00000000-0005-0000-0000-00005A130000}"/>
    <cellStyle name="Input 114" xfId="8015" xr:uid="{00000000-0005-0000-0000-00005B130000}"/>
    <cellStyle name="Input 115" xfId="8016" xr:uid="{00000000-0005-0000-0000-00005C130000}"/>
    <cellStyle name="Input 116" xfId="8017" xr:uid="{00000000-0005-0000-0000-00005D130000}"/>
    <cellStyle name="Input 117" xfId="8018" xr:uid="{00000000-0005-0000-0000-00005E130000}"/>
    <cellStyle name="Input 118" xfId="8019" xr:uid="{00000000-0005-0000-0000-00005F130000}"/>
    <cellStyle name="Input 119" xfId="8020" xr:uid="{00000000-0005-0000-0000-000060130000}"/>
    <cellStyle name="Input 12" xfId="8021" xr:uid="{00000000-0005-0000-0000-000061130000}"/>
    <cellStyle name="Input 12 2" xfId="8022" xr:uid="{00000000-0005-0000-0000-000062130000}"/>
    <cellStyle name="Input 12 2 2" xfId="8023" xr:uid="{00000000-0005-0000-0000-000063130000}"/>
    <cellStyle name="Input 12 3" xfId="8024" xr:uid="{00000000-0005-0000-0000-000064130000}"/>
    <cellStyle name="Input 12 4" xfId="8025" xr:uid="{00000000-0005-0000-0000-000065130000}"/>
    <cellStyle name="Input 120" xfId="8026" xr:uid="{00000000-0005-0000-0000-000066130000}"/>
    <cellStyle name="Input 121" xfId="8027" xr:uid="{00000000-0005-0000-0000-000067130000}"/>
    <cellStyle name="Input 122" xfId="8028" xr:uid="{00000000-0005-0000-0000-000068130000}"/>
    <cellStyle name="Input 123" xfId="8029" xr:uid="{00000000-0005-0000-0000-000069130000}"/>
    <cellStyle name="Input 124" xfId="8030" xr:uid="{00000000-0005-0000-0000-00006A130000}"/>
    <cellStyle name="Input 125" xfId="8031" xr:uid="{00000000-0005-0000-0000-00006B130000}"/>
    <cellStyle name="Input 126" xfId="8032" xr:uid="{00000000-0005-0000-0000-00006C130000}"/>
    <cellStyle name="Input 127" xfId="8033" xr:uid="{00000000-0005-0000-0000-00006D130000}"/>
    <cellStyle name="Input 128" xfId="8034" xr:uid="{00000000-0005-0000-0000-00006E130000}"/>
    <cellStyle name="Input 129" xfId="8035" xr:uid="{00000000-0005-0000-0000-00006F130000}"/>
    <cellStyle name="Input 13" xfId="8036" xr:uid="{00000000-0005-0000-0000-000070130000}"/>
    <cellStyle name="Input 13 2" xfId="8037" xr:uid="{00000000-0005-0000-0000-000071130000}"/>
    <cellStyle name="Input 130" xfId="8038" xr:uid="{00000000-0005-0000-0000-000072130000}"/>
    <cellStyle name="Input 131" xfId="8039" xr:uid="{00000000-0005-0000-0000-000073130000}"/>
    <cellStyle name="Input 132" xfId="8040" xr:uid="{00000000-0005-0000-0000-000074130000}"/>
    <cellStyle name="Input 133" xfId="8041" xr:uid="{00000000-0005-0000-0000-000075130000}"/>
    <cellStyle name="Input 134" xfId="8042" xr:uid="{00000000-0005-0000-0000-000076130000}"/>
    <cellStyle name="Input 135" xfId="8043" xr:uid="{00000000-0005-0000-0000-000077130000}"/>
    <cellStyle name="Input 136" xfId="8044" xr:uid="{00000000-0005-0000-0000-000078130000}"/>
    <cellStyle name="Input 137" xfId="8045" xr:uid="{00000000-0005-0000-0000-000079130000}"/>
    <cellStyle name="Input 138" xfId="8046" xr:uid="{00000000-0005-0000-0000-00007A130000}"/>
    <cellStyle name="Input 139" xfId="8047" xr:uid="{00000000-0005-0000-0000-00007B130000}"/>
    <cellStyle name="Input 14" xfId="8048" xr:uid="{00000000-0005-0000-0000-00007C130000}"/>
    <cellStyle name="Input 14 2" xfId="8049" xr:uid="{00000000-0005-0000-0000-00007D130000}"/>
    <cellStyle name="Input 140" xfId="8050" xr:uid="{00000000-0005-0000-0000-00007E130000}"/>
    <cellStyle name="Input 141" xfId="8051" xr:uid="{00000000-0005-0000-0000-00007F130000}"/>
    <cellStyle name="Input 142" xfId="8052" xr:uid="{00000000-0005-0000-0000-000080130000}"/>
    <cellStyle name="Input 143" xfId="8053" xr:uid="{00000000-0005-0000-0000-000081130000}"/>
    <cellStyle name="Input 144" xfId="8054" xr:uid="{00000000-0005-0000-0000-000082130000}"/>
    <cellStyle name="Input 145" xfId="8055" xr:uid="{00000000-0005-0000-0000-000083130000}"/>
    <cellStyle name="Input 146" xfId="8056" xr:uid="{00000000-0005-0000-0000-000084130000}"/>
    <cellStyle name="Input 147" xfId="8057" xr:uid="{00000000-0005-0000-0000-000085130000}"/>
    <cellStyle name="Input 148" xfId="8058" xr:uid="{00000000-0005-0000-0000-000086130000}"/>
    <cellStyle name="Input 149" xfId="8059" xr:uid="{00000000-0005-0000-0000-000087130000}"/>
    <cellStyle name="Input 15" xfId="8060" xr:uid="{00000000-0005-0000-0000-000088130000}"/>
    <cellStyle name="Input 15 2" xfId="8061" xr:uid="{00000000-0005-0000-0000-000089130000}"/>
    <cellStyle name="Input 150" xfId="8062" xr:uid="{00000000-0005-0000-0000-00008A130000}"/>
    <cellStyle name="Input 151" xfId="8063" xr:uid="{00000000-0005-0000-0000-00008B130000}"/>
    <cellStyle name="Input 152" xfId="8064" xr:uid="{00000000-0005-0000-0000-00008C130000}"/>
    <cellStyle name="Input 153" xfId="8065" xr:uid="{00000000-0005-0000-0000-00008D130000}"/>
    <cellStyle name="Input 154" xfId="8066" xr:uid="{00000000-0005-0000-0000-00008E130000}"/>
    <cellStyle name="Input 155" xfId="8067" xr:uid="{00000000-0005-0000-0000-00008F130000}"/>
    <cellStyle name="Input 156" xfId="8068" xr:uid="{00000000-0005-0000-0000-000090130000}"/>
    <cellStyle name="Input 157" xfId="8069" xr:uid="{00000000-0005-0000-0000-000091130000}"/>
    <cellStyle name="Input 158" xfId="8070" xr:uid="{00000000-0005-0000-0000-000092130000}"/>
    <cellStyle name="Input 159" xfId="8071" xr:uid="{00000000-0005-0000-0000-000093130000}"/>
    <cellStyle name="Input 16" xfId="8072" xr:uid="{00000000-0005-0000-0000-000094130000}"/>
    <cellStyle name="Input 160" xfId="8073" xr:uid="{00000000-0005-0000-0000-000095130000}"/>
    <cellStyle name="Input 161" xfId="8074" xr:uid="{00000000-0005-0000-0000-000096130000}"/>
    <cellStyle name="Input 162" xfId="8075" xr:uid="{00000000-0005-0000-0000-000097130000}"/>
    <cellStyle name="Input 163" xfId="8076" xr:uid="{00000000-0005-0000-0000-000098130000}"/>
    <cellStyle name="Input 164" xfId="8077" xr:uid="{00000000-0005-0000-0000-000099130000}"/>
    <cellStyle name="Input 165" xfId="8078" xr:uid="{00000000-0005-0000-0000-00009A130000}"/>
    <cellStyle name="Input 166" xfId="8079" xr:uid="{00000000-0005-0000-0000-00009B130000}"/>
    <cellStyle name="Input 167" xfId="8080" xr:uid="{00000000-0005-0000-0000-00009C130000}"/>
    <cellStyle name="Input 168" xfId="8081" xr:uid="{00000000-0005-0000-0000-00009D130000}"/>
    <cellStyle name="Input 169" xfId="8082" xr:uid="{00000000-0005-0000-0000-00009E130000}"/>
    <cellStyle name="Input 17" xfId="8083" xr:uid="{00000000-0005-0000-0000-00009F130000}"/>
    <cellStyle name="Input 170" xfId="8084" xr:uid="{00000000-0005-0000-0000-0000A0130000}"/>
    <cellStyle name="Input 171" xfId="8085" xr:uid="{00000000-0005-0000-0000-0000A1130000}"/>
    <cellStyle name="Input 172" xfId="8086" xr:uid="{00000000-0005-0000-0000-0000A2130000}"/>
    <cellStyle name="Input 173" xfId="8087" xr:uid="{00000000-0005-0000-0000-0000A3130000}"/>
    <cellStyle name="Input 174" xfId="8088" xr:uid="{00000000-0005-0000-0000-0000A4130000}"/>
    <cellStyle name="Input 175" xfId="8089" xr:uid="{00000000-0005-0000-0000-0000A5130000}"/>
    <cellStyle name="Input 176" xfId="8090" xr:uid="{00000000-0005-0000-0000-0000A6130000}"/>
    <cellStyle name="Input 177" xfId="8091" xr:uid="{00000000-0005-0000-0000-0000A7130000}"/>
    <cellStyle name="Input 178" xfId="8092" xr:uid="{00000000-0005-0000-0000-0000A8130000}"/>
    <cellStyle name="Input 179" xfId="8093" xr:uid="{00000000-0005-0000-0000-0000A9130000}"/>
    <cellStyle name="Input 18" xfId="8094" xr:uid="{00000000-0005-0000-0000-0000AA130000}"/>
    <cellStyle name="Input 180" xfId="8095" xr:uid="{00000000-0005-0000-0000-0000AB130000}"/>
    <cellStyle name="Input 181" xfId="8096" xr:uid="{00000000-0005-0000-0000-0000AC130000}"/>
    <cellStyle name="Input 182" xfId="8097" xr:uid="{00000000-0005-0000-0000-0000AD130000}"/>
    <cellStyle name="Input 183" xfId="8098" xr:uid="{00000000-0005-0000-0000-0000AE130000}"/>
    <cellStyle name="Input 184" xfId="8099" xr:uid="{00000000-0005-0000-0000-0000AF130000}"/>
    <cellStyle name="Input 185" xfId="8100" xr:uid="{00000000-0005-0000-0000-0000B0130000}"/>
    <cellStyle name="Input 186" xfId="8101" xr:uid="{00000000-0005-0000-0000-0000B1130000}"/>
    <cellStyle name="Input 187" xfId="8102" xr:uid="{00000000-0005-0000-0000-0000B2130000}"/>
    <cellStyle name="Input 188" xfId="8103" xr:uid="{00000000-0005-0000-0000-0000B3130000}"/>
    <cellStyle name="Input 189" xfId="8104" xr:uid="{00000000-0005-0000-0000-0000B4130000}"/>
    <cellStyle name="Input 19" xfId="8105" xr:uid="{00000000-0005-0000-0000-0000B5130000}"/>
    <cellStyle name="Input 190" xfId="8106" xr:uid="{00000000-0005-0000-0000-0000B6130000}"/>
    <cellStyle name="Input 191" xfId="8107" xr:uid="{00000000-0005-0000-0000-0000B7130000}"/>
    <cellStyle name="Input 192" xfId="8108" xr:uid="{00000000-0005-0000-0000-0000B8130000}"/>
    <cellStyle name="Input 193" xfId="8109" xr:uid="{00000000-0005-0000-0000-0000B9130000}"/>
    <cellStyle name="Input 2" xfId="3099" xr:uid="{00000000-0005-0000-0000-0000BA130000}"/>
    <cellStyle name="Input 2 2" xfId="8110" xr:uid="{00000000-0005-0000-0000-0000BB130000}"/>
    <cellStyle name="Input 2 2 2" xfId="8111" xr:uid="{00000000-0005-0000-0000-0000BC130000}"/>
    <cellStyle name="Input 2 3" xfId="8112" xr:uid="{00000000-0005-0000-0000-0000BD130000}"/>
    <cellStyle name="Input 2 3 2" xfId="8113" xr:uid="{00000000-0005-0000-0000-0000BE130000}"/>
    <cellStyle name="Input 2 4" xfId="8114" xr:uid="{00000000-0005-0000-0000-0000BF130000}"/>
    <cellStyle name="Input 2 5" xfId="8115" xr:uid="{00000000-0005-0000-0000-0000C0130000}"/>
    <cellStyle name="Input 2 6" xfId="8116" xr:uid="{00000000-0005-0000-0000-0000C1130000}"/>
    <cellStyle name="Input 20" xfId="8117" xr:uid="{00000000-0005-0000-0000-0000C2130000}"/>
    <cellStyle name="Input 21" xfId="8118" xr:uid="{00000000-0005-0000-0000-0000C3130000}"/>
    <cellStyle name="Input 22" xfId="8119" xr:uid="{00000000-0005-0000-0000-0000C4130000}"/>
    <cellStyle name="Input 23" xfId="8120" xr:uid="{00000000-0005-0000-0000-0000C5130000}"/>
    <cellStyle name="Input 24" xfId="8121" xr:uid="{00000000-0005-0000-0000-0000C6130000}"/>
    <cellStyle name="Input 25" xfId="8122" xr:uid="{00000000-0005-0000-0000-0000C7130000}"/>
    <cellStyle name="Input 26" xfId="8123" xr:uid="{00000000-0005-0000-0000-0000C8130000}"/>
    <cellStyle name="Input 27" xfId="8124" xr:uid="{00000000-0005-0000-0000-0000C9130000}"/>
    <cellStyle name="Input 28" xfId="8125" xr:uid="{00000000-0005-0000-0000-0000CA130000}"/>
    <cellStyle name="Input 29" xfId="8126" xr:uid="{00000000-0005-0000-0000-0000CB130000}"/>
    <cellStyle name="Input 3" xfId="3100" xr:uid="{00000000-0005-0000-0000-0000CC130000}"/>
    <cellStyle name="Input 3 2" xfId="8127" xr:uid="{00000000-0005-0000-0000-0000CD130000}"/>
    <cellStyle name="Input 3 2 2" xfId="8128" xr:uid="{00000000-0005-0000-0000-0000CE130000}"/>
    <cellStyle name="Input 3 3" xfId="8129" xr:uid="{00000000-0005-0000-0000-0000CF130000}"/>
    <cellStyle name="Input 3 4" xfId="8130" xr:uid="{00000000-0005-0000-0000-0000D0130000}"/>
    <cellStyle name="Input 30" xfId="8131" xr:uid="{00000000-0005-0000-0000-0000D1130000}"/>
    <cellStyle name="Input 31" xfId="8132" xr:uid="{00000000-0005-0000-0000-0000D2130000}"/>
    <cellStyle name="Input 32" xfId="8133" xr:uid="{00000000-0005-0000-0000-0000D3130000}"/>
    <cellStyle name="Input 33" xfId="8134" xr:uid="{00000000-0005-0000-0000-0000D4130000}"/>
    <cellStyle name="Input 34" xfId="8135" xr:uid="{00000000-0005-0000-0000-0000D5130000}"/>
    <cellStyle name="Input 35" xfId="8136" xr:uid="{00000000-0005-0000-0000-0000D6130000}"/>
    <cellStyle name="Input 36" xfId="8137" xr:uid="{00000000-0005-0000-0000-0000D7130000}"/>
    <cellStyle name="Input 37" xfId="8138" xr:uid="{00000000-0005-0000-0000-0000D8130000}"/>
    <cellStyle name="Input 38" xfId="8139" xr:uid="{00000000-0005-0000-0000-0000D9130000}"/>
    <cellStyle name="Input 39" xfId="8140" xr:uid="{00000000-0005-0000-0000-0000DA130000}"/>
    <cellStyle name="Input 4" xfId="3101" xr:uid="{00000000-0005-0000-0000-0000DB130000}"/>
    <cellStyle name="Input 4 2" xfId="8141" xr:uid="{00000000-0005-0000-0000-0000DC130000}"/>
    <cellStyle name="Input 4 2 2" xfId="8142" xr:uid="{00000000-0005-0000-0000-0000DD130000}"/>
    <cellStyle name="Input 4 3" xfId="8143" xr:uid="{00000000-0005-0000-0000-0000DE130000}"/>
    <cellStyle name="Input 40" xfId="8144" xr:uid="{00000000-0005-0000-0000-0000DF130000}"/>
    <cellStyle name="Input 41" xfId="8145" xr:uid="{00000000-0005-0000-0000-0000E0130000}"/>
    <cellStyle name="Input 42" xfId="8146" xr:uid="{00000000-0005-0000-0000-0000E1130000}"/>
    <cellStyle name="Input 43" xfId="8147" xr:uid="{00000000-0005-0000-0000-0000E2130000}"/>
    <cellStyle name="Input 44" xfId="8148" xr:uid="{00000000-0005-0000-0000-0000E3130000}"/>
    <cellStyle name="Input 45" xfId="8149" xr:uid="{00000000-0005-0000-0000-0000E4130000}"/>
    <cellStyle name="Input 46" xfId="8150" xr:uid="{00000000-0005-0000-0000-0000E5130000}"/>
    <cellStyle name="Input 47" xfId="8151" xr:uid="{00000000-0005-0000-0000-0000E6130000}"/>
    <cellStyle name="Input 48" xfId="8152" xr:uid="{00000000-0005-0000-0000-0000E7130000}"/>
    <cellStyle name="Input 49" xfId="8153" xr:uid="{00000000-0005-0000-0000-0000E8130000}"/>
    <cellStyle name="Input 5" xfId="3102" xr:uid="{00000000-0005-0000-0000-0000E9130000}"/>
    <cellStyle name="Input 5 2" xfId="8154" xr:uid="{00000000-0005-0000-0000-0000EA130000}"/>
    <cellStyle name="Input 5 2 2" xfId="8155" xr:uid="{00000000-0005-0000-0000-0000EB130000}"/>
    <cellStyle name="Input 5 3" xfId="8156" xr:uid="{00000000-0005-0000-0000-0000EC130000}"/>
    <cellStyle name="Input 50" xfId="8157" xr:uid="{00000000-0005-0000-0000-0000ED130000}"/>
    <cellStyle name="Input 51" xfId="8158" xr:uid="{00000000-0005-0000-0000-0000EE130000}"/>
    <cellStyle name="Input 52" xfId="8159" xr:uid="{00000000-0005-0000-0000-0000EF130000}"/>
    <cellStyle name="Input 53" xfId="8160" xr:uid="{00000000-0005-0000-0000-0000F0130000}"/>
    <cellStyle name="Input 54" xfId="8161" xr:uid="{00000000-0005-0000-0000-0000F1130000}"/>
    <cellStyle name="Input 55" xfId="8162" xr:uid="{00000000-0005-0000-0000-0000F2130000}"/>
    <cellStyle name="Input 56" xfId="8163" xr:uid="{00000000-0005-0000-0000-0000F3130000}"/>
    <cellStyle name="Input 57" xfId="8164" xr:uid="{00000000-0005-0000-0000-0000F4130000}"/>
    <cellStyle name="Input 58" xfId="8165" xr:uid="{00000000-0005-0000-0000-0000F5130000}"/>
    <cellStyle name="Input 59" xfId="8166" xr:uid="{00000000-0005-0000-0000-0000F6130000}"/>
    <cellStyle name="Input 6" xfId="3215" xr:uid="{00000000-0005-0000-0000-0000F7130000}"/>
    <cellStyle name="Input 6 2" xfId="8167" xr:uid="{00000000-0005-0000-0000-0000F8130000}"/>
    <cellStyle name="Input 6 2 2" xfId="8168" xr:uid="{00000000-0005-0000-0000-0000F9130000}"/>
    <cellStyle name="Input 6 3" xfId="8169" xr:uid="{00000000-0005-0000-0000-0000FA130000}"/>
    <cellStyle name="Input 60" xfId="8170" xr:uid="{00000000-0005-0000-0000-0000FB130000}"/>
    <cellStyle name="Input 61" xfId="8171" xr:uid="{00000000-0005-0000-0000-0000FC130000}"/>
    <cellStyle name="Input 62" xfId="8172" xr:uid="{00000000-0005-0000-0000-0000FD130000}"/>
    <cellStyle name="Input 63" xfId="8173" xr:uid="{00000000-0005-0000-0000-0000FE130000}"/>
    <cellStyle name="Input 64" xfId="8174" xr:uid="{00000000-0005-0000-0000-0000FF130000}"/>
    <cellStyle name="Input 65" xfId="8175" xr:uid="{00000000-0005-0000-0000-000000140000}"/>
    <cellStyle name="Input 66" xfId="8176" xr:uid="{00000000-0005-0000-0000-000001140000}"/>
    <cellStyle name="Input 67" xfId="8177" xr:uid="{00000000-0005-0000-0000-000002140000}"/>
    <cellStyle name="Input 68" xfId="8178" xr:uid="{00000000-0005-0000-0000-000003140000}"/>
    <cellStyle name="Input 69" xfId="8179" xr:uid="{00000000-0005-0000-0000-000004140000}"/>
    <cellStyle name="Input 7" xfId="8180" xr:uid="{00000000-0005-0000-0000-000005140000}"/>
    <cellStyle name="Input 7 2" xfId="8181" xr:uid="{00000000-0005-0000-0000-000006140000}"/>
    <cellStyle name="Input 7 3" xfId="8182" xr:uid="{00000000-0005-0000-0000-000007140000}"/>
    <cellStyle name="Input 70" xfId="8183" xr:uid="{00000000-0005-0000-0000-000008140000}"/>
    <cellStyle name="Input 71" xfId="8184" xr:uid="{00000000-0005-0000-0000-000009140000}"/>
    <cellStyle name="Input 72" xfId="8185" xr:uid="{00000000-0005-0000-0000-00000A140000}"/>
    <cellStyle name="Input 73" xfId="8186" xr:uid="{00000000-0005-0000-0000-00000B140000}"/>
    <cellStyle name="Input 74" xfId="8187" xr:uid="{00000000-0005-0000-0000-00000C140000}"/>
    <cellStyle name="Input 75" xfId="8188" xr:uid="{00000000-0005-0000-0000-00000D140000}"/>
    <cellStyle name="Input 76" xfId="8189" xr:uid="{00000000-0005-0000-0000-00000E140000}"/>
    <cellStyle name="Input 77" xfId="8190" xr:uid="{00000000-0005-0000-0000-00000F140000}"/>
    <cellStyle name="Input 78" xfId="8191" xr:uid="{00000000-0005-0000-0000-000010140000}"/>
    <cellStyle name="Input 79" xfId="8192" xr:uid="{00000000-0005-0000-0000-000011140000}"/>
    <cellStyle name="Input 8" xfId="8193" xr:uid="{00000000-0005-0000-0000-000012140000}"/>
    <cellStyle name="Input 8 2" xfId="8194" xr:uid="{00000000-0005-0000-0000-000013140000}"/>
    <cellStyle name="Input 8 3" xfId="8195" xr:uid="{00000000-0005-0000-0000-000014140000}"/>
    <cellStyle name="Input 80" xfId="8196" xr:uid="{00000000-0005-0000-0000-000015140000}"/>
    <cellStyle name="Input 81" xfId="8197" xr:uid="{00000000-0005-0000-0000-000016140000}"/>
    <cellStyle name="Input 82" xfId="8198" xr:uid="{00000000-0005-0000-0000-000017140000}"/>
    <cellStyle name="Input 83" xfId="8199" xr:uid="{00000000-0005-0000-0000-000018140000}"/>
    <cellStyle name="Input 84" xfId="8200" xr:uid="{00000000-0005-0000-0000-000019140000}"/>
    <cellStyle name="Input 85" xfId="8201" xr:uid="{00000000-0005-0000-0000-00001A140000}"/>
    <cellStyle name="Input 86" xfId="8202" xr:uid="{00000000-0005-0000-0000-00001B140000}"/>
    <cellStyle name="Input 87" xfId="8203" xr:uid="{00000000-0005-0000-0000-00001C140000}"/>
    <cellStyle name="Input 88" xfId="8204" xr:uid="{00000000-0005-0000-0000-00001D140000}"/>
    <cellStyle name="Input 89" xfId="8205" xr:uid="{00000000-0005-0000-0000-00001E140000}"/>
    <cellStyle name="Input 9" xfId="8206" xr:uid="{00000000-0005-0000-0000-00001F140000}"/>
    <cellStyle name="Input 9 2" xfId="8207" xr:uid="{00000000-0005-0000-0000-000020140000}"/>
    <cellStyle name="Input 9 3" xfId="8208" xr:uid="{00000000-0005-0000-0000-000021140000}"/>
    <cellStyle name="Input 90" xfId="8209" xr:uid="{00000000-0005-0000-0000-000022140000}"/>
    <cellStyle name="Input 91" xfId="8210" xr:uid="{00000000-0005-0000-0000-000023140000}"/>
    <cellStyle name="Input 92" xfId="8211" xr:uid="{00000000-0005-0000-0000-000024140000}"/>
    <cellStyle name="Input 93" xfId="8212" xr:uid="{00000000-0005-0000-0000-000025140000}"/>
    <cellStyle name="Input 94" xfId="8213" xr:uid="{00000000-0005-0000-0000-000026140000}"/>
    <cellStyle name="Input 95" xfId="8214" xr:uid="{00000000-0005-0000-0000-000027140000}"/>
    <cellStyle name="Input 96" xfId="8215" xr:uid="{00000000-0005-0000-0000-000028140000}"/>
    <cellStyle name="Input 97" xfId="8216" xr:uid="{00000000-0005-0000-0000-000029140000}"/>
    <cellStyle name="Input 98" xfId="8217" xr:uid="{00000000-0005-0000-0000-00002A140000}"/>
    <cellStyle name="Input 99" xfId="8218" xr:uid="{00000000-0005-0000-0000-00002B140000}"/>
    <cellStyle name="Input Cells" xfId="8219" xr:uid="{00000000-0005-0000-0000-00002C140000}"/>
    <cellStyle name="INPUTS" xfId="8220" xr:uid="{00000000-0005-0000-0000-00002D140000}"/>
    <cellStyle name="Inputs2" xfId="8221" xr:uid="{00000000-0005-0000-0000-00002E140000}"/>
    <cellStyle name="Lines" xfId="8222" xr:uid="{00000000-0005-0000-0000-00002F140000}"/>
    <cellStyle name="Linked Cell 10" xfId="8223" xr:uid="{00000000-0005-0000-0000-000030140000}"/>
    <cellStyle name="Linked Cell 11" xfId="8224" xr:uid="{00000000-0005-0000-0000-000031140000}"/>
    <cellStyle name="Linked Cell 2" xfId="3103" xr:uid="{00000000-0005-0000-0000-000032140000}"/>
    <cellStyle name="Linked Cell 2 2" xfId="8225" xr:uid="{00000000-0005-0000-0000-000033140000}"/>
    <cellStyle name="Linked Cell 2 2 2" xfId="8226" xr:uid="{00000000-0005-0000-0000-000034140000}"/>
    <cellStyle name="Linked Cell 2 3" xfId="8227" xr:uid="{00000000-0005-0000-0000-000035140000}"/>
    <cellStyle name="Linked Cell 2 4" xfId="8228" xr:uid="{00000000-0005-0000-0000-000036140000}"/>
    <cellStyle name="Linked Cell 2 5" xfId="8229" xr:uid="{00000000-0005-0000-0000-000037140000}"/>
    <cellStyle name="Linked Cell 2 6" xfId="8230" xr:uid="{00000000-0005-0000-0000-000038140000}"/>
    <cellStyle name="Linked Cell 3" xfId="3104" xr:uid="{00000000-0005-0000-0000-000039140000}"/>
    <cellStyle name="Linked Cell 3 2" xfId="8231" xr:uid="{00000000-0005-0000-0000-00003A140000}"/>
    <cellStyle name="Linked Cell 3 2 2" xfId="8232" xr:uid="{00000000-0005-0000-0000-00003B140000}"/>
    <cellStyle name="Linked Cell 3 3" xfId="8233" xr:uid="{00000000-0005-0000-0000-00003C140000}"/>
    <cellStyle name="Linked Cell 3 4" xfId="8234" xr:uid="{00000000-0005-0000-0000-00003D140000}"/>
    <cellStyle name="Linked Cell 4" xfId="3216" xr:uid="{00000000-0005-0000-0000-00003E140000}"/>
    <cellStyle name="Linked Cell 4 2" xfId="8235" xr:uid="{00000000-0005-0000-0000-00003F140000}"/>
    <cellStyle name="Linked Cell 5" xfId="8236" xr:uid="{00000000-0005-0000-0000-000040140000}"/>
    <cellStyle name="Linked Cell 5 2" xfId="8237" xr:uid="{00000000-0005-0000-0000-000041140000}"/>
    <cellStyle name="Linked Cell 6" xfId="8238" xr:uid="{00000000-0005-0000-0000-000042140000}"/>
    <cellStyle name="Linked Cell 6 2" xfId="8239" xr:uid="{00000000-0005-0000-0000-000043140000}"/>
    <cellStyle name="Linked Cell 7" xfId="8240" xr:uid="{00000000-0005-0000-0000-000044140000}"/>
    <cellStyle name="Linked Cell 8" xfId="8241" xr:uid="{00000000-0005-0000-0000-000045140000}"/>
    <cellStyle name="Linked Cell 9" xfId="8242" xr:uid="{00000000-0005-0000-0000-000046140000}"/>
    <cellStyle name="Linked Cell 9 2" xfId="8243" xr:uid="{00000000-0005-0000-0000-000047140000}"/>
    <cellStyle name="Linked Cell 9 3" xfId="8244" xr:uid="{00000000-0005-0000-0000-000048140000}"/>
    <cellStyle name="m/d/yy" xfId="8245" xr:uid="{00000000-0005-0000-0000-000049140000}"/>
    <cellStyle name="macroname" xfId="8246" xr:uid="{00000000-0005-0000-0000-00004A140000}"/>
    <cellStyle name="Millares [0]_10 AVERIAS MASIVAS + ANT" xfId="8247" xr:uid="{00000000-0005-0000-0000-00004B140000}"/>
    <cellStyle name="Millares_10 AVERIAS MASIVAS + ANT" xfId="8248" xr:uid="{00000000-0005-0000-0000-00004C140000}"/>
    <cellStyle name="Milliers [0]_Global Purchase" xfId="8249" xr:uid="{00000000-0005-0000-0000-00004D140000}"/>
    <cellStyle name="Milliers_Global Purchase" xfId="8250" xr:uid="{00000000-0005-0000-0000-00004E140000}"/>
    <cellStyle name="Mine" xfId="8251" xr:uid="{00000000-0005-0000-0000-00004F140000}"/>
    <cellStyle name="mmm-yy" xfId="8252" xr:uid="{00000000-0005-0000-0000-000050140000}"/>
    <cellStyle name="mmm-yy 10" xfId="8253" xr:uid="{00000000-0005-0000-0000-000051140000}"/>
    <cellStyle name="mmm-yy 11" xfId="8254" xr:uid="{00000000-0005-0000-0000-000052140000}"/>
    <cellStyle name="mmm-yy 12" xfId="8255" xr:uid="{00000000-0005-0000-0000-000053140000}"/>
    <cellStyle name="mmm-yy 13" xfId="8256" xr:uid="{00000000-0005-0000-0000-000054140000}"/>
    <cellStyle name="mmm-yy 14" xfId="8257" xr:uid="{00000000-0005-0000-0000-000055140000}"/>
    <cellStyle name="mmm-yy 15" xfId="8258" xr:uid="{00000000-0005-0000-0000-000056140000}"/>
    <cellStyle name="mmm-yy 16" xfId="8259" xr:uid="{00000000-0005-0000-0000-000057140000}"/>
    <cellStyle name="mmm-yy 17" xfId="8260" xr:uid="{00000000-0005-0000-0000-000058140000}"/>
    <cellStyle name="mmm-yy 18" xfId="8261" xr:uid="{00000000-0005-0000-0000-000059140000}"/>
    <cellStyle name="mmm-yy 19" xfId="8262" xr:uid="{00000000-0005-0000-0000-00005A140000}"/>
    <cellStyle name="mmm-yy 2" xfId="8263" xr:uid="{00000000-0005-0000-0000-00005B140000}"/>
    <cellStyle name="mmm-yy 20" xfId="8264" xr:uid="{00000000-0005-0000-0000-00005C140000}"/>
    <cellStyle name="mmm-yy 21" xfId="8265" xr:uid="{00000000-0005-0000-0000-00005D140000}"/>
    <cellStyle name="mmm-yy 22" xfId="8266" xr:uid="{00000000-0005-0000-0000-00005E140000}"/>
    <cellStyle name="mmm-yy 23" xfId="8267" xr:uid="{00000000-0005-0000-0000-00005F140000}"/>
    <cellStyle name="mmm-yy 24" xfId="8268" xr:uid="{00000000-0005-0000-0000-000060140000}"/>
    <cellStyle name="mmm-yy 25" xfId="8269" xr:uid="{00000000-0005-0000-0000-000061140000}"/>
    <cellStyle name="mmm-yy 26" xfId="8270" xr:uid="{00000000-0005-0000-0000-000062140000}"/>
    <cellStyle name="mmm-yy 27" xfId="8271" xr:uid="{00000000-0005-0000-0000-000063140000}"/>
    <cellStyle name="mmm-yy 28" xfId="8272" xr:uid="{00000000-0005-0000-0000-000064140000}"/>
    <cellStyle name="mmm-yy 29" xfId="8273" xr:uid="{00000000-0005-0000-0000-000065140000}"/>
    <cellStyle name="mmm-yy 3" xfId="8274" xr:uid="{00000000-0005-0000-0000-000066140000}"/>
    <cellStyle name="mmm-yy 30" xfId="8275" xr:uid="{00000000-0005-0000-0000-000067140000}"/>
    <cellStyle name="mmm-yy 4" xfId="8276" xr:uid="{00000000-0005-0000-0000-000068140000}"/>
    <cellStyle name="mmm-yy 5" xfId="8277" xr:uid="{00000000-0005-0000-0000-000069140000}"/>
    <cellStyle name="mmm-yy 6" xfId="8278" xr:uid="{00000000-0005-0000-0000-00006A140000}"/>
    <cellStyle name="mmm-yy 7" xfId="8279" xr:uid="{00000000-0005-0000-0000-00006B140000}"/>
    <cellStyle name="mmm-yy 8" xfId="8280" xr:uid="{00000000-0005-0000-0000-00006C140000}"/>
    <cellStyle name="mmm-yy 9" xfId="8281" xr:uid="{00000000-0005-0000-0000-00006D140000}"/>
    <cellStyle name="Model" xfId="8282" xr:uid="{00000000-0005-0000-0000-00006E140000}"/>
    <cellStyle name="Moneda [0]_10 AVERIAS MASIVAS + ANT" xfId="8283" xr:uid="{00000000-0005-0000-0000-00006F140000}"/>
    <cellStyle name="Moneda_10 AVERIAS MASIVAS + ANT" xfId="8284" xr:uid="{00000000-0005-0000-0000-000070140000}"/>
    <cellStyle name="Monétaire [0]_Global Purchase" xfId="8285" xr:uid="{00000000-0005-0000-0000-000071140000}"/>
    <cellStyle name="Monétaire_Global Purchase" xfId="8286" xr:uid="{00000000-0005-0000-0000-000072140000}"/>
    <cellStyle name="Multiple" xfId="8287" xr:uid="{00000000-0005-0000-0000-000073140000}"/>
    <cellStyle name="Neg in [RED]" xfId="3105" xr:uid="{00000000-0005-0000-0000-000074140000}"/>
    <cellStyle name="Neutral 10" xfId="8288" xr:uid="{00000000-0005-0000-0000-000075140000}"/>
    <cellStyle name="Neutral 11" xfId="8289" xr:uid="{00000000-0005-0000-0000-000076140000}"/>
    <cellStyle name="Neutral 2" xfId="3106" xr:uid="{00000000-0005-0000-0000-000077140000}"/>
    <cellStyle name="Neutral 2 2" xfId="8290" xr:uid="{00000000-0005-0000-0000-000078140000}"/>
    <cellStyle name="Neutral 2 2 2" xfId="8291" xr:uid="{00000000-0005-0000-0000-000079140000}"/>
    <cellStyle name="Neutral 2 3" xfId="8292" xr:uid="{00000000-0005-0000-0000-00007A140000}"/>
    <cellStyle name="Neutral 2 4" xfId="8293" xr:uid="{00000000-0005-0000-0000-00007B140000}"/>
    <cellStyle name="Neutral 2 5" xfId="8294" xr:uid="{00000000-0005-0000-0000-00007C140000}"/>
    <cellStyle name="Neutral 2 6" xfId="8295" xr:uid="{00000000-0005-0000-0000-00007D140000}"/>
    <cellStyle name="Neutral 3" xfId="3107" xr:uid="{00000000-0005-0000-0000-00007E140000}"/>
    <cellStyle name="Neutral 3 2" xfId="8296" xr:uid="{00000000-0005-0000-0000-00007F140000}"/>
    <cellStyle name="Neutral 3 2 2" xfId="8297" xr:uid="{00000000-0005-0000-0000-000080140000}"/>
    <cellStyle name="Neutral 3 3" xfId="8298" xr:uid="{00000000-0005-0000-0000-000081140000}"/>
    <cellStyle name="Neutral 3 4" xfId="8299" xr:uid="{00000000-0005-0000-0000-000082140000}"/>
    <cellStyle name="Neutral 4" xfId="3217" xr:uid="{00000000-0005-0000-0000-000083140000}"/>
    <cellStyle name="Neutral 4 2" xfId="8300" xr:uid="{00000000-0005-0000-0000-000084140000}"/>
    <cellStyle name="Neutral 5" xfId="8301" xr:uid="{00000000-0005-0000-0000-000085140000}"/>
    <cellStyle name="Neutral 5 2" xfId="8302" xr:uid="{00000000-0005-0000-0000-000086140000}"/>
    <cellStyle name="Neutral 6" xfId="8303" xr:uid="{00000000-0005-0000-0000-000087140000}"/>
    <cellStyle name="Neutral 6 2" xfId="8304" xr:uid="{00000000-0005-0000-0000-000088140000}"/>
    <cellStyle name="Neutral 7" xfId="8305" xr:uid="{00000000-0005-0000-0000-000089140000}"/>
    <cellStyle name="Neutral 8" xfId="8306" xr:uid="{00000000-0005-0000-0000-00008A140000}"/>
    <cellStyle name="Neutral 9" xfId="8307" xr:uid="{00000000-0005-0000-0000-00008B140000}"/>
    <cellStyle name="Neutral 9 2" xfId="8308" xr:uid="{00000000-0005-0000-0000-00008C140000}"/>
    <cellStyle name="Neutral 9 3" xfId="8309" xr:uid="{00000000-0005-0000-0000-00008D140000}"/>
    <cellStyle name="no dec" xfId="3108" xr:uid="{00000000-0005-0000-0000-00008E140000}"/>
    <cellStyle name="no dec 10" xfId="8310" xr:uid="{00000000-0005-0000-0000-00008F140000}"/>
    <cellStyle name="no dec 11" xfId="8311" xr:uid="{00000000-0005-0000-0000-000090140000}"/>
    <cellStyle name="no dec 12" xfId="8312" xr:uid="{00000000-0005-0000-0000-000091140000}"/>
    <cellStyle name="no dec 13" xfId="8313" xr:uid="{00000000-0005-0000-0000-000092140000}"/>
    <cellStyle name="no dec 14" xfId="8314" xr:uid="{00000000-0005-0000-0000-000093140000}"/>
    <cellStyle name="no dec 15" xfId="8315" xr:uid="{00000000-0005-0000-0000-000094140000}"/>
    <cellStyle name="no dec 16" xfId="8316" xr:uid="{00000000-0005-0000-0000-000095140000}"/>
    <cellStyle name="no dec 17" xfId="8317" xr:uid="{00000000-0005-0000-0000-000096140000}"/>
    <cellStyle name="no dec 18" xfId="8318" xr:uid="{00000000-0005-0000-0000-000097140000}"/>
    <cellStyle name="no dec 19" xfId="8319" xr:uid="{00000000-0005-0000-0000-000098140000}"/>
    <cellStyle name="no dec 2" xfId="8320" xr:uid="{00000000-0005-0000-0000-000099140000}"/>
    <cellStyle name="no dec 2 2" xfId="8321" xr:uid="{00000000-0005-0000-0000-00009A140000}"/>
    <cellStyle name="no dec 2_Actual" xfId="8322" xr:uid="{00000000-0005-0000-0000-00009B140000}"/>
    <cellStyle name="no dec 20" xfId="8323" xr:uid="{00000000-0005-0000-0000-00009C140000}"/>
    <cellStyle name="no dec 21" xfId="8324" xr:uid="{00000000-0005-0000-0000-00009D140000}"/>
    <cellStyle name="no dec 3" xfId="8325" xr:uid="{00000000-0005-0000-0000-00009E140000}"/>
    <cellStyle name="no dec 4" xfId="8326" xr:uid="{00000000-0005-0000-0000-00009F140000}"/>
    <cellStyle name="no dec 4 2" xfId="8327" xr:uid="{00000000-0005-0000-0000-0000A0140000}"/>
    <cellStyle name="no dec 4_Actual" xfId="8328" xr:uid="{00000000-0005-0000-0000-0000A1140000}"/>
    <cellStyle name="no dec 5" xfId="8329" xr:uid="{00000000-0005-0000-0000-0000A2140000}"/>
    <cellStyle name="no dec 6" xfId="8330" xr:uid="{00000000-0005-0000-0000-0000A3140000}"/>
    <cellStyle name="no dec 7" xfId="8331" xr:uid="{00000000-0005-0000-0000-0000A4140000}"/>
    <cellStyle name="no dec 8" xfId="8332" xr:uid="{00000000-0005-0000-0000-0000A5140000}"/>
    <cellStyle name="no dec 9" xfId="8333" xr:uid="{00000000-0005-0000-0000-0000A6140000}"/>
    <cellStyle name="no dec_Actual" xfId="8334" xr:uid="{00000000-0005-0000-0000-0000A7140000}"/>
    <cellStyle name="Normal" xfId="0" builtinId="0"/>
    <cellStyle name="Normal - Style1" xfId="3109" xr:uid="{00000000-0005-0000-0000-0000A9140000}"/>
    <cellStyle name="Normal - Style2" xfId="8335" xr:uid="{00000000-0005-0000-0000-0000AA140000}"/>
    <cellStyle name="Normal - Style3" xfId="8336" xr:uid="{00000000-0005-0000-0000-0000AB140000}"/>
    <cellStyle name="Normal 10" xfId="39" xr:uid="{00000000-0005-0000-0000-0000AC140000}"/>
    <cellStyle name="Normal 10 10" xfId="8337" xr:uid="{00000000-0005-0000-0000-0000AD140000}"/>
    <cellStyle name="Normal 10 10 2" xfId="8338" xr:uid="{00000000-0005-0000-0000-0000AE140000}"/>
    <cellStyle name="Normal 10 10 3" xfId="8339" xr:uid="{00000000-0005-0000-0000-0000AF140000}"/>
    <cellStyle name="Normal 10 10 4" xfId="8340" xr:uid="{00000000-0005-0000-0000-0000B0140000}"/>
    <cellStyle name="Normal 10 11" xfId="8341" xr:uid="{00000000-0005-0000-0000-0000B1140000}"/>
    <cellStyle name="Normal 10 11 2" xfId="8342" xr:uid="{00000000-0005-0000-0000-0000B2140000}"/>
    <cellStyle name="Normal 10 11 3" xfId="8343" xr:uid="{00000000-0005-0000-0000-0000B3140000}"/>
    <cellStyle name="Normal 10 11 4" xfId="8344" xr:uid="{00000000-0005-0000-0000-0000B4140000}"/>
    <cellStyle name="Normal 10 12" xfId="8345" xr:uid="{00000000-0005-0000-0000-0000B5140000}"/>
    <cellStyle name="Normal 10 13" xfId="8346" xr:uid="{00000000-0005-0000-0000-0000B6140000}"/>
    <cellStyle name="Normal 10 14" xfId="8347" xr:uid="{00000000-0005-0000-0000-0000B7140000}"/>
    <cellStyle name="Normal 10 15" xfId="8348" xr:uid="{00000000-0005-0000-0000-0000B8140000}"/>
    <cellStyle name="Normal 10 16" xfId="8349" xr:uid="{00000000-0005-0000-0000-0000B9140000}"/>
    <cellStyle name="Normal 10 2" xfId="56" xr:uid="{00000000-0005-0000-0000-0000BA140000}"/>
    <cellStyle name="Normal 10 2 10" xfId="8350" xr:uid="{00000000-0005-0000-0000-0000BB140000}"/>
    <cellStyle name="Normal 10 2 11" xfId="8351" xr:uid="{00000000-0005-0000-0000-0000BC140000}"/>
    <cellStyle name="Normal 10 2 12" xfId="8352" xr:uid="{00000000-0005-0000-0000-0000BD140000}"/>
    <cellStyle name="Normal 10 2 13" xfId="8353" xr:uid="{00000000-0005-0000-0000-0000BE140000}"/>
    <cellStyle name="Normal 10 2 2" xfId="61" xr:uid="{00000000-0005-0000-0000-0000BF140000}"/>
    <cellStyle name="Normal 10 2 2 2" xfId="60" xr:uid="{00000000-0005-0000-0000-0000C0140000}"/>
    <cellStyle name="Normal 10 2 2 2 2" xfId="53" xr:uid="{00000000-0005-0000-0000-0000C1140000}"/>
    <cellStyle name="Normal 10 2 2 2 2 2" xfId="66" xr:uid="{00000000-0005-0000-0000-0000C2140000}"/>
    <cellStyle name="Normal 10 2 2 2 2 2 2" xfId="40" xr:uid="{00000000-0005-0000-0000-0000C3140000}"/>
    <cellStyle name="Normal 10 2 2 2 2 2 2 2" xfId="59" xr:uid="{00000000-0005-0000-0000-0000C4140000}"/>
    <cellStyle name="Normal 10 2 2 2 2 2 2 2 2" xfId="38" xr:uid="{00000000-0005-0000-0000-0000C5140000}"/>
    <cellStyle name="Normal 10 2 2 2 2 2 2 3" xfId="62" xr:uid="{00000000-0005-0000-0000-0000C6140000}"/>
    <cellStyle name="Normal 10 2 2 2 2 2 3" xfId="50" xr:uid="{00000000-0005-0000-0000-0000C7140000}"/>
    <cellStyle name="Normal 10 2 2 2 2 2 3 2" xfId="48" xr:uid="{00000000-0005-0000-0000-0000C8140000}"/>
    <cellStyle name="Normal 10 2 2 2 2 2 4" xfId="43" xr:uid="{00000000-0005-0000-0000-0000C9140000}"/>
    <cellStyle name="Normal 10 2 2 2 2 3" xfId="52" xr:uid="{00000000-0005-0000-0000-0000CA140000}"/>
    <cellStyle name="Normal 10 2 2 2 2 3 2" xfId="47" xr:uid="{00000000-0005-0000-0000-0000CB140000}"/>
    <cellStyle name="Normal 10 2 2 2 2 3 2 2" xfId="42" xr:uid="{00000000-0005-0000-0000-0000CC140000}"/>
    <cellStyle name="Normal 10 2 2 2 2 3 3" xfId="63" xr:uid="{00000000-0005-0000-0000-0000CD140000}"/>
    <cellStyle name="Normal 10 2 2 2 2 4" xfId="46" xr:uid="{00000000-0005-0000-0000-0000CE140000}"/>
    <cellStyle name="Normal 10 2 2 2 2 4 2" xfId="65" xr:uid="{00000000-0005-0000-0000-0000CF140000}"/>
    <cellStyle name="Normal 10 2 2 2 2 5" xfId="54" xr:uid="{00000000-0005-0000-0000-0000D0140000}"/>
    <cellStyle name="Normal 10 2 2 2 3" xfId="57" xr:uid="{00000000-0005-0000-0000-0000D1140000}"/>
    <cellStyle name="Normal 10 2 2 2 3 2" xfId="64" xr:uid="{00000000-0005-0000-0000-0000D2140000}"/>
    <cellStyle name="Normal 10 2 2 2 3 2 2" xfId="45" xr:uid="{00000000-0005-0000-0000-0000D3140000}"/>
    <cellStyle name="Normal 10 2 2 2 3 2 2 2" xfId="55" xr:uid="{00000000-0005-0000-0000-0000D4140000}"/>
    <cellStyle name="Normal 10 2 2 2 3 2 3" xfId="67" xr:uid="{00000000-0005-0000-0000-0000D5140000}"/>
    <cellStyle name="Normal 10 2 2 2 3 3" xfId="68" xr:uid="{00000000-0005-0000-0000-0000D6140000}"/>
    <cellStyle name="Normal 10 2 2 2 3 3 2" xfId="69" xr:uid="{00000000-0005-0000-0000-0000D7140000}"/>
    <cellStyle name="Normal 10 2 2 2 3 4" xfId="70" xr:uid="{00000000-0005-0000-0000-0000D8140000}"/>
    <cellStyle name="Normal 10 2 2 2 4" xfId="71" xr:uid="{00000000-0005-0000-0000-0000D9140000}"/>
    <cellStyle name="Normal 10 2 2 2 4 2" xfId="72" xr:uid="{00000000-0005-0000-0000-0000DA140000}"/>
    <cellStyle name="Normal 10 2 2 2 4 2 2" xfId="73" xr:uid="{00000000-0005-0000-0000-0000DB140000}"/>
    <cellStyle name="Normal 10 2 2 2 4 3" xfId="74" xr:uid="{00000000-0005-0000-0000-0000DC140000}"/>
    <cellStyle name="Normal 10 2 2 2 5" xfId="75" xr:uid="{00000000-0005-0000-0000-0000DD140000}"/>
    <cellStyle name="Normal 10 2 2 2 5 2" xfId="76" xr:uid="{00000000-0005-0000-0000-0000DE140000}"/>
    <cellStyle name="Normal 10 2 2 2 6" xfId="77" xr:uid="{00000000-0005-0000-0000-0000DF140000}"/>
    <cellStyle name="Normal 10 2 2 3" xfId="78" xr:uid="{00000000-0005-0000-0000-0000E0140000}"/>
    <cellStyle name="Normal 10 2 2 3 2" xfId="79" xr:uid="{00000000-0005-0000-0000-0000E1140000}"/>
    <cellStyle name="Normal 10 2 2 3 2 2" xfId="80" xr:uid="{00000000-0005-0000-0000-0000E2140000}"/>
    <cellStyle name="Normal 10 2 2 3 2 2 2" xfId="81" xr:uid="{00000000-0005-0000-0000-0000E3140000}"/>
    <cellStyle name="Normal 10 2 2 3 2 2 2 2" xfId="82" xr:uid="{00000000-0005-0000-0000-0000E4140000}"/>
    <cellStyle name="Normal 10 2 2 3 2 2 3" xfId="83" xr:uid="{00000000-0005-0000-0000-0000E5140000}"/>
    <cellStyle name="Normal 10 2 2 3 2 3" xfId="84" xr:uid="{00000000-0005-0000-0000-0000E6140000}"/>
    <cellStyle name="Normal 10 2 2 3 2 3 2" xfId="85" xr:uid="{00000000-0005-0000-0000-0000E7140000}"/>
    <cellStyle name="Normal 10 2 2 3 2 4" xfId="86" xr:uid="{00000000-0005-0000-0000-0000E8140000}"/>
    <cellStyle name="Normal 10 2 2 3 3" xfId="87" xr:uid="{00000000-0005-0000-0000-0000E9140000}"/>
    <cellStyle name="Normal 10 2 2 3 3 2" xfId="88" xr:uid="{00000000-0005-0000-0000-0000EA140000}"/>
    <cellStyle name="Normal 10 2 2 3 3 2 2" xfId="89" xr:uid="{00000000-0005-0000-0000-0000EB140000}"/>
    <cellStyle name="Normal 10 2 2 3 3 3" xfId="90" xr:uid="{00000000-0005-0000-0000-0000EC140000}"/>
    <cellStyle name="Normal 10 2 2 3 4" xfId="91" xr:uid="{00000000-0005-0000-0000-0000ED140000}"/>
    <cellStyle name="Normal 10 2 2 3 4 2" xfId="92" xr:uid="{00000000-0005-0000-0000-0000EE140000}"/>
    <cellStyle name="Normal 10 2 2 3 5" xfId="93" xr:uid="{00000000-0005-0000-0000-0000EF140000}"/>
    <cellStyle name="Normal 10 2 2 4" xfId="94" xr:uid="{00000000-0005-0000-0000-0000F0140000}"/>
    <cellStyle name="Normal 10 2 2 4 2" xfId="95" xr:uid="{00000000-0005-0000-0000-0000F1140000}"/>
    <cellStyle name="Normal 10 2 2 4 2 2" xfId="96" xr:uid="{00000000-0005-0000-0000-0000F2140000}"/>
    <cellStyle name="Normal 10 2 2 4 2 2 2" xfId="97" xr:uid="{00000000-0005-0000-0000-0000F3140000}"/>
    <cellStyle name="Normal 10 2 2 4 2 3" xfId="98" xr:uid="{00000000-0005-0000-0000-0000F4140000}"/>
    <cellStyle name="Normal 10 2 2 4 3" xfId="99" xr:uid="{00000000-0005-0000-0000-0000F5140000}"/>
    <cellStyle name="Normal 10 2 2 4 3 2" xfId="100" xr:uid="{00000000-0005-0000-0000-0000F6140000}"/>
    <cellStyle name="Normal 10 2 2 4 4" xfId="101" xr:uid="{00000000-0005-0000-0000-0000F7140000}"/>
    <cellStyle name="Normal 10 2 2 5" xfId="102" xr:uid="{00000000-0005-0000-0000-0000F8140000}"/>
    <cellStyle name="Normal 10 2 2 5 2" xfId="103" xr:uid="{00000000-0005-0000-0000-0000F9140000}"/>
    <cellStyle name="Normal 10 2 2 5 2 2" xfId="104" xr:uid="{00000000-0005-0000-0000-0000FA140000}"/>
    <cellStyle name="Normal 10 2 2 5 3" xfId="105" xr:uid="{00000000-0005-0000-0000-0000FB140000}"/>
    <cellStyle name="Normal 10 2 2 5 4" xfId="8354" xr:uid="{00000000-0005-0000-0000-0000FC140000}"/>
    <cellStyle name="Normal 10 2 2 6" xfId="106" xr:uid="{00000000-0005-0000-0000-0000FD140000}"/>
    <cellStyle name="Normal 10 2 2 6 2" xfId="107" xr:uid="{00000000-0005-0000-0000-0000FE140000}"/>
    <cellStyle name="Normal 10 2 2 7" xfId="108" xr:uid="{00000000-0005-0000-0000-0000FF140000}"/>
    <cellStyle name="Normal 10 2 2 8" xfId="8355" xr:uid="{00000000-0005-0000-0000-000000150000}"/>
    <cellStyle name="Normal 10 2 2 9" xfId="8356" xr:uid="{00000000-0005-0000-0000-000001150000}"/>
    <cellStyle name="Normal 10 2 2_Actual" xfId="8357" xr:uid="{00000000-0005-0000-0000-000002150000}"/>
    <cellStyle name="Normal 10 2 3" xfId="109" xr:uid="{00000000-0005-0000-0000-000003150000}"/>
    <cellStyle name="Normal 10 2 3 2" xfId="110" xr:uid="{00000000-0005-0000-0000-000004150000}"/>
    <cellStyle name="Normal 10 2 3 2 2" xfId="111" xr:uid="{00000000-0005-0000-0000-000005150000}"/>
    <cellStyle name="Normal 10 2 3 2 2 2" xfId="112" xr:uid="{00000000-0005-0000-0000-000006150000}"/>
    <cellStyle name="Normal 10 2 3 2 2 2 2" xfId="113" xr:uid="{00000000-0005-0000-0000-000007150000}"/>
    <cellStyle name="Normal 10 2 3 2 2 2 2 2" xfId="114" xr:uid="{00000000-0005-0000-0000-000008150000}"/>
    <cellStyle name="Normal 10 2 3 2 2 2 3" xfId="115" xr:uid="{00000000-0005-0000-0000-000009150000}"/>
    <cellStyle name="Normal 10 2 3 2 2 3" xfId="116" xr:uid="{00000000-0005-0000-0000-00000A150000}"/>
    <cellStyle name="Normal 10 2 3 2 2 3 2" xfId="117" xr:uid="{00000000-0005-0000-0000-00000B150000}"/>
    <cellStyle name="Normal 10 2 3 2 2 4" xfId="118" xr:uid="{00000000-0005-0000-0000-00000C150000}"/>
    <cellStyle name="Normal 10 2 3 2 3" xfId="119" xr:uid="{00000000-0005-0000-0000-00000D150000}"/>
    <cellStyle name="Normal 10 2 3 2 3 2" xfId="120" xr:uid="{00000000-0005-0000-0000-00000E150000}"/>
    <cellStyle name="Normal 10 2 3 2 3 2 2" xfId="121" xr:uid="{00000000-0005-0000-0000-00000F150000}"/>
    <cellStyle name="Normal 10 2 3 2 3 3" xfId="122" xr:uid="{00000000-0005-0000-0000-000010150000}"/>
    <cellStyle name="Normal 10 2 3 2 4" xfId="123" xr:uid="{00000000-0005-0000-0000-000011150000}"/>
    <cellStyle name="Normal 10 2 3 2 4 2" xfId="124" xr:uid="{00000000-0005-0000-0000-000012150000}"/>
    <cellStyle name="Normal 10 2 3 2 5" xfId="125" xr:uid="{00000000-0005-0000-0000-000013150000}"/>
    <cellStyle name="Normal 10 2 3 3" xfId="126" xr:uid="{00000000-0005-0000-0000-000014150000}"/>
    <cellStyle name="Normal 10 2 3 3 2" xfId="127" xr:uid="{00000000-0005-0000-0000-000015150000}"/>
    <cellStyle name="Normal 10 2 3 3 2 2" xfId="128" xr:uid="{00000000-0005-0000-0000-000016150000}"/>
    <cellStyle name="Normal 10 2 3 3 2 2 2" xfId="129" xr:uid="{00000000-0005-0000-0000-000017150000}"/>
    <cellStyle name="Normal 10 2 3 3 2 3" xfId="130" xr:uid="{00000000-0005-0000-0000-000018150000}"/>
    <cellStyle name="Normal 10 2 3 3 3" xfId="131" xr:uid="{00000000-0005-0000-0000-000019150000}"/>
    <cellStyle name="Normal 10 2 3 3 3 2" xfId="132" xr:uid="{00000000-0005-0000-0000-00001A150000}"/>
    <cellStyle name="Normal 10 2 3 3 4" xfId="133" xr:uid="{00000000-0005-0000-0000-00001B150000}"/>
    <cellStyle name="Normal 10 2 3 4" xfId="134" xr:uid="{00000000-0005-0000-0000-00001C150000}"/>
    <cellStyle name="Normal 10 2 3 4 2" xfId="135" xr:uid="{00000000-0005-0000-0000-00001D150000}"/>
    <cellStyle name="Normal 10 2 3 4 2 2" xfId="136" xr:uid="{00000000-0005-0000-0000-00001E150000}"/>
    <cellStyle name="Normal 10 2 3 4 3" xfId="137" xr:uid="{00000000-0005-0000-0000-00001F150000}"/>
    <cellStyle name="Normal 10 2 3 4 4" xfId="8358" xr:uid="{00000000-0005-0000-0000-000020150000}"/>
    <cellStyle name="Normal 10 2 3 5" xfId="138" xr:uid="{00000000-0005-0000-0000-000021150000}"/>
    <cellStyle name="Normal 10 2 3 5 2" xfId="139" xr:uid="{00000000-0005-0000-0000-000022150000}"/>
    <cellStyle name="Normal 10 2 3 5 3" xfId="8359" xr:uid="{00000000-0005-0000-0000-000023150000}"/>
    <cellStyle name="Normal 10 2 3 5 4" xfId="8360" xr:uid="{00000000-0005-0000-0000-000024150000}"/>
    <cellStyle name="Normal 10 2 3 6" xfId="140" xr:uid="{00000000-0005-0000-0000-000025150000}"/>
    <cellStyle name="Normal 10 2 3 7" xfId="8361" xr:uid="{00000000-0005-0000-0000-000026150000}"/>
    <cellStyle name="Normal 10 2 3 8" xfId="8362" xr:uid="{00000000-0005-0000-0000-000027150000}"/>
    <cellStyle name="Normal 10 2 3 9" xfId="8363" xr:uid="{00000000-0005-0000-0000-000028150000}"/>
    <cellStyle name="Normal 10 2 3_Actual" xfId="8364" xr:uid="{00000000-0005-0000-0000-000029150000}"/>
    <cellStyle name="Normal 10 2 4" xfId="141" xr:uid="{00000000-0005-0000-0000-00002A150000}"/>
    <cellStyle name="Normal 10 2 4 2" xfId="142" xr:uid="{00000000-0005-0000-0000-00002B150000}"/>
    <cellStyle name="Normal 10 2 4 2 2" xfId="143" xr:uid="{00000000-0005-0000-0000-00002C150000}"/>
    <cellStyle name="Normal 10 2 4 2 2 2" xfId="144" xr:uid="{00000000-0005-0000-0000-00002D150000}"/>
    <cellStyle name="Normal 10 2 4 2 2 2 2" xfId="145" xr:uid="{00000000-0005-0000-0000-00002E150000}"/>
    <cellStyle name="Normal 10 2 4 2 2 3" xfId="146" xr:uid="{00000000-0005-0000-0000-00002F150000}"/>
    <cellStyle name="Normal 10 2 4 2 3" xfId="147" xr:uid="{00000000-0005-0000-0000-000030150000}"/>
    <cellStyle name="Normal 10 2 4 2 3 2" xfId="148" xr:uid="{00000000-0005-0000-0000-000031150000}"/>
    <cellStyle name="Normal 10 2 4 2 4" xfId="149" xr:uid="{00000000-0005-0000-0000-000032150000}"/>
    <cellStyle name="Normal 10 2 4 3" xfId="150" xr:uid="{00000000-0005-0000-0000-000033150000}"/>
    <cellStyle name="Normal 10 2 4 3 2" xfId="151" xr:uid="{00000000-0005-0000-0000-000034150000}"/>
    <cellStyle name="Normal 10 2 4 3 2 2" xfId="152" xr:uid="{00000000-0005-0000-0000-000035150000}"/>
    <cellStyle name="Normal 10 2 4 3 3" xfId="153" xr:uid="{00000000-0005-0000-0000-000036150000}"/>
    <cellStyle name="Normal 10 2 4 3 3 2" xfId="8365" xr:uid="{00000000-0005-0000-0000-000037150000}"/>
    <cellStyle name="Normal 10 2 4 3 4" xfId="8366" xr:uid="{00000000-0005-0000-0000-000038150000}"/>
    <cellStyle name="Normal 10 2 4 4" xfId="154" xr:uid="{00000000-0005-0000-0000-000039150000}"/>
    <cellStyle name="Normal 10 2 4 4 2" xfId="155" xr:uid="{00000000-0005-0000-0000-00003A150000}"/>
    <cellStyle name="Normal 10 2 4 4 3" xfId="8367" xr:uid="{00000000-0005-0000-0000-00003B150000}"/>
    <cellStyle name="Normal 10 2 4 4 4" xfId="8368" xr:uid="{00000000-0005-0000-0000-00003C150000}"/>
    <cellStyle name="Normal 10 2 4 5" xfId="156" xr:uid="{00000000-0005-0000-0000-00003D150000}"/>
    <cellStyle name="Normal 10 2 4 5 2" xfId="8369" xr:uid="{00000000-0005-0000-0000-00003E150000}"/>
    <cellStyle name="Normal 10 2 4 5 3" xfId="8370" xr:uid="{00000000-0005-0000-0000-00003F150000}"/>
    <cellStyle name="Normal 10 2 4 5 4" xfId="8371" xr:uid="{00000000-0005-0000-0000-000040150000}"/>
    <cellStyle name="Normal 10 2 4 6" xfId="8372" xr:uid="{00000000-0005-0000-0000-000041150000}"/>
    <cellStyle name="Normal 10 2 4 7" xfId="8373" xr:uid="{00000000-0005-0000-0000-000042150000}"/>
    <cellStyle name="Normal 10 2 4 8" xfId="8374" xr:uid="{00000000-0005-0000-0000-000043150000}"/>
    <cellStyle name="Normal 10 2 4 9" xfId="8375" xr:uid="{00000000-0005-0000-0000-000044150000}"/>
    <cellStyle name="Normal 10 2 4_Actual" xfId="8376" xr:uid="{00000000-0005-0000-0000-000045150000}"/>
    <cellStyle name="Normal 10 2 5" xfId="157" xr:uid="{00000000-0005-0000-0000-000046150000}"/>
    <cellStyle name="Normal 10 2 5 2" xfId="158" xr:uid="{00000000-0005-0000-0000-000047150000}"/>
    <cellStyle name="Normal 10 2 5 2 2" xfId="159" xr:uid="{00000000-0005-0000-0000-000048150000}"/>
    <cellStyle name="Normal 10 2 5 2 2 2" xfId="160" xr:uid="{00000000-0005-0000-0000-000049150000}"/>
    <cellStyle name="Normal 10 2 5 2 3" xfId="161" xr:uid="{00000000-0005-0000-0000-00004A150000}"/>
    <cellStyle name="Normal 10 2 5 3" xfId="162" xr:uid="{00000000-0005-0000-0000-00004B150000}"/>
    <cellStyle name="Normal 10 2 5 3 2" xfId="163" xr:uid="{00000000-0005-0000-0000-00004C150000}"/>
    <cellStyle name="Normal 10 2 5 4" xfId="164" xr:uid="{00000000-0005-0000-0000-00004D150000}"/>
    <cellStyle name="Normal 10 2 6" xfId="165" xr:uid="{00000000-0005-0000-0000-00004E150000}"/>
    <cellStyle name="Normal 10 2 6 2" xfId="166" xr:uid="{00000000-0005-0000-0000-00004F150000}"/>
    <cellStyle name="Normal 10 2 6 2 2" xfId="167" xr:uid="{00000000-0005-0000-0000-000050150000}"/>
    <cellStyle name="Normal 10 2 6 3" xfId="168" xr:uid="{00000000-0005-0000-0000-000051150000}"/>
    <cellStyle name="Normal 10 2 6 3 2" xfId="8377" xr:uid="{00000000-0005-0000-0000-000052150000}"/>
    <cellStyle name="Normal 10 2 6 4" xfId="8378" xr:uid="{00000000-0005-0000-0000-000053150000}"/>
    <cellStyle name="Normal 10 2 7" xfId="169" xr:uid="{00000000-0005-0000-0000-000054150000}"/>
    <cellStyle name="Normal 10 2 7 2" xfId="170" xr:uid="{00000000-0005-0000-0000-000055150000}"/>
    <cellStyle name="Normal 10 2 7 3" xfId="8379" xr:uid="{00000000-0005-0000-0000-000056150000}"/>
    <cellStyle name="Normal 10 2 7 4" xfId="8380" xr:uid="{00000000-0005-0000-0000-000057150000}"/>
    <cellStyle name="Normal 10 2 8" xfId="171" xr:uid="{00000000-0005-0000-0000-000058150000}"/>
    <cellStyle name="Normal 10 2 8 2" xfId="8381" xr:uid="{00000000-0005-0000-0000-000059150000}"/>
    <cellStyle name="Normal 10 2 8 3" xfId="8382" xr:uid="{00000000-0005-0000-0000-00005A150000}"/>
    <cellStyle name="Normal 10 2 8 4" xfId="8383" xr:uid="{00000000-0005-0000-0000-00005B150000}"/>
    <cellStyle name="Normal 10 2 9" xfId="8384" xr:uid="{00000000-0005-0000-0000-00005C150000}"/>
    <cellStyle name="Normal 10 2_Actual" xfId="8385" xr:uid="{00000000-0005-0000-0000-00005D150000}"/>
    <cellStyle name="Normal 10 3" xfId="172" xr:uid="{00000000-0005-0000-0000-00005E150000}"/>
    <cellStyle name="Normal 10 3 10" xfId="8386" xr:uid="{00000000-0005-0000-0000-00005F150000}"/>
    <cellStyle name="Normal 10 3 11" xfId="8387" xr:uid="{00000000-0005-0000-0000-000060150000}"/>
    <cellStyle name="Normal 10 3 12" xfId="8388" xr:uid="{00000000-0005-0000-0000-000061150000}"/>
    <cellStyle name="Normal 10 3 2" xfId="173" xr:uid="{00000000-0005-0000-0000-000062150000}"/>
    <cellStyle name="Normal 10 3 2 2" xfId="174" xr:uid="{00000000-0005-0000-0000-000063150000}"/>
    <cellStyle name="Normal 10 3 2 2 2" xfId="175" xr:uid="{00000000-0005-0000-0000-000064150000}"/>
    <cellStyle name="Normal 10 3 2 2 2 2" xfId="176" xr:uid="{00000000-0005-0000-0000-000065150000}"/>
    <cellStyle name="Normal 10 3 2 2 2 2 2" xfId="177" xr:uid="{00000000-0005-0000-0000-000066150000}"/>
    <cellStyle name="Normal 10 3 2 2 2 2 2 2" xfId="178" xr:uid="{00000000-0005-0000-0000-000067150000}"/>
    <cellStyle name="Normal 10 3 2 2 2 2 3" xfId="179" xr:uid="{00000000-0005-0000-0000-000068150000}"/>
    <cellStyle name="Normal 10 3 2 2 2 3" xfId="180" xr:uid="{00000000-0005-0000-0000-000069150000}"/>
    <cellStyle name="Normal 10 3 2 2 2 3 2" xfId="181" xr:uid="{00000000-0005-0000-0000-00006A150000}"/>
    <cellStyle name="Normal 10 3 2 2 2 4" xfId="182" xr:uid="{00000000-0005-0000-0000-00006B150000}"/>
    <cellStyle name="Normal 10 3 2 2 3" xfId="183" xr:uid="{00000000-0005-0000-0000-00006C150000}"/>
    <cellStyle name="Normal 10 3 2 2 3 2" xfId="184" xr:uid="{00000000-0005-0000-0000-00006D150000}"/>
    <cellStyle name="Normal 10 3 2 2 3 2 2" xfId="185" xr:uid="{00000000-0005-0000-0000-00006E150000}"/>
    <cellStyle name="Normal 10 3 2 2 3 3" xfId="186" xr:uid="{00000000-0005-0000-0000-00006F150000}"/>
    <cellStyle name="Normal 10 3 2 2 4" xfId="187" xr:uid="{00000000-0005-0000-0000-000070150000}"/>
    <cellStyle name="Normal 10 3 2 2 4 2" xfId="188" xr:uid="{00000000-0005-0000-0000-000071150000}"/>
    <cellStyle name="Normal 10 3 2 2 5" xfId="189" xr:uid="{00000000-0005-0000-0000-000072150000}"/>
    <cellStyle name="Normal 10 3 2 3" xfId="190" xr:uid="{00000000-0005-0000-0000-000073150000}"/>
    <cellStyle name="Normal 10 3 2 3 2" xfId="191" xr:uid="{00000000-0005-0000-0000-000074150000}"/>
    <cellStyle name="Normal 10 3 2 3 2 2" xfId="192" xr:uid="{00000000-0005-0000-0000-000075150000}"/>
    <cellStyle name="Normal 10 3 2 3 2 2 2" xfId="193" xr:uid="{00000000-0005-0000-0000-000076150000}"/>
    <cellStyle name="Normal 10 3 2 3 2 3" xfId="194" xr:uid="{00000000-0005-0000-0000-000077150000}"/>
    <cellStyle name="Normal 10 3 2 3 3" xfId="195" xr:uid="{00000000-0005-0000-0000-000078150000}"/>
    <cellStyle name="Normal 10 3 2 3 3 2" xfId="196" xr:uid="{00000000-0005-0000-0000-000079150000}"/>
    <cellStyle name="Normal 10 3 2 3 4" xfId="197" xr:uid="{00000000-0005-0000-0000-00007A150000}"/>
    <cellStyle name="Normal 10 3 2 4" xfId="198" xr:uid="{00000000-0005-0000-0000-00007B150000}"/>
    <cellStyle name="Normal 10 3 2 4 2" xfId="199" xr:uid="{00000000-0005-0000-0000-00007C150000}"/>
    <cellStyle name="Normal 10 3 2 4 2 2" xfId="200" xr:uid="{00000000-0005-0000-0000-00007D150000}"/>
    <cellStyle name="Normal 10 3 2 4 3" xfId="201" xr:uid="{00000000-0005-0000-0000-00007E150000}"/>
    <cellStyle name="Normal 10 3 2 4 4" xfId="8389" xr:uid="{00000000-0005-0000-0000-00007F150000}"/>
    <cellStyle name="Normal 10 3 2 5" xfId="202" xr:uid="{00000000-0005-0000-0000-000080150000}"/>
    <cellStyle name="Normal 10 3 2 5 2" xfId="203" xr:uid="{00000000-0005-0000-0000-000081150000}"/>
    <cellStyle name="Normal 10 3 2 5 3" xfId="8390" xr:uid="{00000000-0005-0000-0000-000082150000}"/>
    <cellStyle name="Normal 10 3 2 5 4" xfId="8391" xr:uid="{00000000-0005-0000-0000-000083150000}"/>
    <cellStyle name="Normal 10 3 2 6" xfId="204" xr:uid="{00000000-0005-0000-0000-000084150000}"/>
    <cellStyle name="Normal 10 3 2 7" xfId="8392" xr:uid="{00000000-0005-0000-0000-000085150000}"/>
    <cellStyle name="Normal 10 3 2 8" xfId="8393" xr:uid="{00000000-0005-0000-0000-000086150000}"/>
    <cellStyle name="Normal 10 3 2 9" xfId="8394" xr:uid="{00000000-0005-0000-0000-000087150000}"/>
    <cellStyle name="Normal 10 3 2_Actual" xfId="8395" xr:uid="{00000000-0005-0000-0000-000088150000}"/>
    <cellStyle name="Normal 10 3 3" xfId="205" xr:uid="{00000000-0005-0000-0000-000089150000}"/>
    <cellStyle name="Normal 10 3 3 2" xfId="206" xr:uid="{00000000-0005-0000-0000-00008A150000}"/>
    <cellStyle name="Normal 10 3 3 2 2" xfId="207" xr:uid="{00000000-0005-0000-0000-00008B150000}"/>
    <cellStyle name="Normal 10 3 3 2 2 2" xfId="208" xr:uid="{00000000-0005-0000-0000-00008C150000}"/>
    <cellStyle name="Normal 10 3 3 2 2 2 2" xfId="209" xr:uid="{00000000-0005-0000-0000-00008D150000}"/>
    <cellStyle name="Normal 10 3 3 2 2 3" xfId="210" xr:uid="{00000000-0005-0000-0000-00008E150000}"/>
    <cellStyle name="Normal 10 3 3 2 3" xfId="211" xr:uid="{00000000-0005-0000-0000-00008F150000}"/>
    <cellStyle name="Normal 10 3 3 2 3 2" xfId="212" xr:uid="{00000000-0005-0000-0000-000090150000}"/>
    <cellStyle name="Normal 10 3 3 2 4" xfId="213" xr:uid="{00000000-0005-0000-0000-000091150000}"/>
    <cellStyle name="Normal 10 3 3 3" xfId="214" xr:uid="{00000000-0005-0000-0000-000092150000}"/>
    <cellStyle name="Normal 10 3 3 3 2" xfId="215" xr:uid="{00000000-0005-0000-0000-000093150000}"/>
    <cellStyle name="Normal 10 3 3 3 2 2" xfId="216" xr:uid="{00000000-0005-0000-0000-000094150000}"/>
    <cellStyle name="Normal 10 3 3 3 3" xfId="217" xr:uid="{00000000-0005-0000-0000-000095150000}"/>
    <cellStyle name="Normal 10 3 3 3 3 2" xfId="8396" xr:uid="{00000000-0005-0000-0000-000096150000}"/>
    <cellStyle name="Normal 10 3 3 3 4" xfId="8397" xr:uid="{00000000-0005-0000-0000-000097150000}"/>
    <cellStyle name="Normal 10 3 3 4" xfId="218" xr:uid="{00000000-0005-0000-0000-000098150000}"/>
    <cellStyle name="Normal 10 3 3 4 2" xfId="219" xr:uid="{00000000-0005-0000-0000-000099150000}"/>
    <cellStyle name="Normal 10 3 3 4 3" xfId="8398" xr:uid="{00000000-0005-0000-0000-00009A150000}"/>
    <cellStyle name="Normal 10 3 3 4 4" xfId="8399" xr:uid="{00000000-0005-0000-0000-00009B150000}"/>
    <cellStyle name="Normal 10 3 3 5" xfId="220" xr:uid="{00000000-0005-0000-0000-00009C150000}"/>
    <cellStyle name="Normal 10 3 3 5 2" xfId="8400" xr:uid="{00000000-0005-0000-0000-00009D150000}"/>
    <cellStyle name="Normal 10 3 3 5 3" xfId="8401" xr:uid="{00000000-0005-0000-0000-00009E150000}"/>
    <cellStyle name="Normal 10 3 3 5 4" xfId="8402" xr:uid="{00000000-0005-0000-0000-00009F150000}"/>
    <cellStyle name="Normal 10 3 3 6" xfId="8403" xr:uid="{00000000-0005-0000-0000-0000A0150000}"/>
    <cellStyle name="Normal 10 3 3 7" xfId="8404" xr:uid="{00000000-0005-0000-0000-0000A1150000}"/>
    <cellStyle name="Normal 10 3 3 8" xfId="8405" xr:uid="{00000000-0005-0000-0000-0000A2150000}"/>
    <cellStyle name="Normal 10 3 3 9" xfId="8406" xr:uid="{00000000-0005-0000-0000-0000A3150000}"/>
    <cellStyle name="Normal 10 3 3_Actual" xfId="8407" xr:uid="{00000000-0005-0000-0000-0000A4150000}"/>
    <cellStyle name="Normal 10 3 4" xfId="221" xr:uid="{00000000-0005-0000-0000-0000A5150000}"/>
    <cellStyle name="Normal 10 3 4 2" xfId="222" xr:uid="{00000000-0005-0000-0000-0000A6150000}"/>
    <cellStyle name="Normal 10 3 4 2 2" xfId="223" xr:uid="{00000000-0005-0000-0000-0000A7150000}"/>
    <cellStyle name="Normal 10 3 4 2 2 2" xfId="224" xr:uid="{00000000-0005-0000-0000-0000A8150000}"/>
    <cellStyle name="Normal 10 3 4 2 3" xfId="225" xr:uid="{00000000-0005-0000-0000-0000A9150000}"/>
    <cellStyle name="Normal 10 3 4 2 3 2" xfId="8408" xr:uid="{00000000-0005-0000-0000-0000AA150000}"/>
    <cellStyle name="Normal 10 3 4 2 4" xfId="8409" xr:uid="{00000000-0005-0000-0000-0000AB150000}"/>
    <cellStyle name="Normal 10 3 4 3" xfId="226" xr:uid="{00000000-0005-0000-0000-0000AC150000}"/>
    <cellStyle name="Normal 10 3 4 3 2" xfId="227" xr:uid="{00000000-0005-0000-0000-0000AD150000}"/>
    <cellStyle name="Normal 10 3 4 3 2 2" xfId="8410" xr:uid="{00000000-0005-0000-0000-0000AE150000}"/>
    <cellStyle name="Normal 10 3 4 3 3" xfId="8411" xr:uid="{00000000-0005-0000-0000-0000AF150000}"/>
    <cellStyle name="Normal 10 3 4 3 3 2" xfId="8412" xr:uid="{00000000-0005-0000-0000-0000B0150000}"/>
    <cellStyle name="Normal 10 3 4 3 4" xfId="8413" xr:uid="{00000000-0005-0000-0000-0000B1150000}"/>
    <cellStyle name="Normal 10 3 4 4" xfId="228" xr:uid="{00000000-0005-0000-0000-0000B2150000}"/>
    <cellStyle name="Normal 10 3 4 4 2" xfId="8414" xr:uid="{00000000-0005-0000-0000-0000B3150000}"/>
    <cellStyle name="Normal 10 3 4 4 3" xfId="8415" xr:uid="{00000000-0005-0000-0000-0000B4150000}"/>
    <cellStyle name="Normal 10 3 4 4 4" xfId="8416" xr:uid="{00000000-0005-0000-0000-0000B5150000}"/>
    <cellStyle name="Normal 10 3 4 5" xfId="8417" xr:uid="{00000000-0005-0000-0000-0000B6150000}"/>
    <cellStyle name="Normal 10 3 4 5 2" xfId="8418" xr:uid="{00000000-0005-0000-0000-0000B7150000}"/>
    <cellStyle name="Normal 10 3 4 5 3" xfId="8419" xr:uid="{00000000-0005-0000-0000-0000B8150000}"/>
    <cellStyle name="Normal 10 3 4 5 4" xfId="8420" xr:uid="{00000000-0005-0000-0000-0000B9150000}"/>
    <cellStyle name="Normal 10 3 4 6" xfId="8421" xr:uid="{00000000-0005-0000-0000-0000BA150000}"/>
    <cellStyle name="Normal 10 3 4 7" xfId="8422" xr:uid="{00000000-0005-0000-0000-0000BB150000}"/>
    <cellStyle name="Normal 10 3 4 8" xfId="8423" xr:uid="{00000000-0005-0000-0000-0000BC150000}"/>
    <cellStyle name="Normal 10 3 4 9" xfId="8424" xr:uid="{00000000-0005-0000-0000-0000BD150000}"/>
    <cellStyle name="Normal 10 3 4_Actual" xfId="8425" xr:uid="{00000000-0005-0000-0000-0000BE150000}"/>
    <cellStyle name="Normal 10 3 5" xfId="229" xr:uid="{00000000-0005-0000-0000-0000BF150000}"/>
    <cellStyle name="Normal 10 3 5 2" xfId="230" xr:uid="{00000000-0005-0000-0000-0000C0150000}"/>
    <cellStyle name="Normal 10 3 5 2 2" xfId="231" xr:uid="{00000000-0005-0000-0000-0000C1150000}"/>
    <cellStyle name="Normal 10 3 5 3" xfId="232" xr:uid="{00000000-0005-0000-0000-0000C2150000}"/>
    <cellStyle name="Normal 10 3 5 3 2" xfId="8426" xr:uid="{00000000-0005-0000-0000-0000C3150000}"/>
    <cellStyle name="Normal 10 3 5 4" xfId="8427" xr:uid="{00000000-0005-0000-0000-0000C4150000}"/>
    <cellStyle name="Normal 10 3 6" xfId="233" xr:uid="{00000000-0005-0000-0000-0000C5150000}"/>
    <cellStyle name="Normal 10 3 6 2" xfId="234" xr:uid="{00000000-0005-0000-0000-0000C6150000}"/>
    <cellStyle name="Normal 10 3 6 2 2" xfId="8428" xr:uid="{00000000-0005-0000-0000-0000C7150000}"/>
    <cellStyle name="Normal 10 3 6 3" xfId="8429" xr:uid="{00000000-0005-0000-0000-0000C8150000}"/>
    <cellStyle name="Normal 10 3 6 3 2" xfId="8430" xr:uid="{00000000-0005-0000-0000-0000C9150000}"/>
    <cellStyle name="Normal 10 3 6 4" xfId="8431" xr:uid="{00000000-0005-0000-0000-0000CA150000}"/>
    <cellStyle name="Normal 10 3 7" xfId="235" xr:uid="{00000000-0005-0000-0000-0000CB150000}"/>
    <cellStyle name="Normal 10 3 7 2" xfId="8432" xr:uid="{00000000-0005-0000-0000-0000CC150000}"/>
    <cellStyle name="Normal 10 3 7 3" xfId="8433" xr:uid="{00000000-0005-0000-0000-0000CD150000}"/>
    <cellStyle name="Normal 10 3 7 4" xfId="8434" xr:uid="{00000000-0005-0000-0000-0000CE150000}"/>
    <cellStyle name="Normal 10 3 8" xfId="8435" xr:uid="{00000000-0005-0000-0000-0000CF150000}"/>
    <cellStyle name="Normal 10 3 8 2" xfId="8436" xr:uid="{00000000-0005-0000-0000-0000D0150000}"/>
    <cellStyle name="Normal 10 3 8 3" xfId="8437" xr:uid="{00000000-0005-0000-0000-0000D1150000}"/>
    <cellStyle name="Normal 10 3 8 4" xfId="8438" xr:uid="{00000000-0005-0000-0000-0000D2150000}"/>
    <cellStyle name="Normal 10 3 9" xfId="8439" xr:uid="{00000000-0005-0000-0000-0000D3150000}"/>
    <cellStyle name="Normal 10 3_Actual" xfId="8440" xr:uid="{00000000-0005-0000-0000-0000D4150000}"/>
    <cellStyle name="Normal 10 4" xfId="236" xr:uid="{00000000-0005-0000-0000-0000D5150000}"/>
    <cellStyle name="Normal 10 4 10" xfId="8441" xr:uid="{00000000-0005-0000-0000-0000D6150000}"/>
    <cellStyle name="Normal 10 4 11" xfId="8442" xr:uid="{00000000-0005-0000-0000-0000D7150000}"/>
    <cellStyle name="Normal 10 4 12" xfId="8443" xr:uid="{00000000-0005-0000-0000-0000D8150000}"/>
    <cellStyle name="Normal 10 4 2" xfId="237" xr:uid="{00000000-0005-0000-0000-0000D9150000}"/>
    <cellStyle name="Normal 10 4 2 2" xfId="238" xr:uid="{00000000-0005-0000-0000-0000DA150000}"/>
    <cellStyle name="Normal 10 4 2 2 2" xfId="239" xr:uid="{00000000-0005-0000-0000-0000DB150000}"/>
    <cellStyle name="Normal 10 4 2 2 2 2" xfId="240" xr:uid="{00000000-0005-0000-0000-0000DC150000}"/>
    <cellStyle name="Normal 10 4 2 2 2 2 2" xfId="241" xr:uid="{00000000-0005-0000-0000-0000DD150000}"/>
    <cellStyle name="Normal 10 4 2 2 2 3" xfId="242" xr:uid="{00000000-0005-0000-0000-0000DE150000}"/>
    <cellStyle name="Normal 10 4 2 2 3" xfId="243" xr:uid="{00000000-0005-0000-0000-0000DF150000}"/>
    <cellStyle name="Normal 10 4 2 2 3 2" xfId="244" xr:uid="{00000000-0005-0000-0000-0000E0150000}"/>
    <cellStyle name="Normal 10 4 2 2 4" xfId="245" xr:uid="{00000000-0005-0000-0000-0000E1150000}"/>
    <cellStyle name="Normal 10 4 2 3" xfId="246" xr:uid="{00000000-0005-0000-0000-0000E2150000}"/>
    <cellStyle name="Normal 10 4 2 3 2" xfId="247" xr:uid="{00000000-0005-0000-0000-0000E3150000}"/>
    <cellStyle name="Normal 10 4 2 3 2 2" xfId="248" xr:uid="{00000000-0005-0000-0000-0000E4150000}"/>
    <cellStyle name="Normal 10 4 2 3 3" xfId="249" xr:uid="{00000000-0005-0000-0000-0000E5150000}"/>
    <cellStyle name="Normal 10 4 2 3 3 2" xfId="8444" xr:uid="{00000000-0005-0000-0000-0000E6150000}"/>
    <cellStyle name="Normal 10 4 2 3 4" xfId="8445" xr:uid="{00000000-0005-0000-0000-0000E7150000}"/>
    <cellStyle name="Normal 10 4 2 4" xfId="250" xr:uid="{00000000-0005-0000-0000-0000E8150000}"/>
    <cellStyle name="Normal 10 4 2 4 2" xfId="251" xr:uid="{00000000-0005-0000-0000-0000E9150000}"/>
    <cellStyle name="Normal 10 4 2 4 3" xfId="8446" xr:uid="{00000000-0005-0000-0000-0000EA150000}"/>
    <cellStyle name="Normal 10 4 2 4 4" xfId="8447" xr:uid="{00000000-0005-0000-0000-0000EB150000}"/>
    <cellStyle name="Normal 10 4 2 5" xfId="252" xr:uid="{00000000-0005-0000-0000-0000EC150000}"/>
    <cellStyle name="Normal 10 4 2 5 2" xfId="8448" xr:uid="{00000000-0005-0000-0000-0000ED150000}"/>
    <cellStyle name="Normal 10 4 2 5 3" xfId="8449" xr:uid="{00000000-0005-0000-0000-0000EE150000}"/>
    <cellStyle name="Normal 10 4 2 5 4" xfId="8450" xr:uid="{00000000-0005-0000-0000-0000EF150000}"/>
    <cellStyle name="Normal 10 4 2 6" xfId="8451" xr:uid="{00000000-0005-0000-0000-0000F0150000}"/>
    <cellStyle name="Normal 10 4 2 7" xfId="8452" xr:uid="{00000000-0005-0000-0000-0000F1150000}"/>
    <cellStyle name="Normal 10 4 2 8" xfId="8453" xr:uid="{00000000-0005-0000-0000-0000F2150000}"/>
    <cellStyle name="Normal 10 4 2 9" xfId="8454" xr:uid="{00000000-0005-0000-0000-0000F3150000}"/>
    <cellStyle name="Normal 10 4 2_Actual" xfId="8455" xr:uid="{00000000-0005-0000-0000-0000F4150000}"/>
    <cellStyle name="Normal 10 4 3" xfId="253" xr:uid="{00000000-0005-0000-0000-0000F5150000}"/>
    <cellStyle name="Normal 10 4 3 2" xfId="254" xr:uid="{00000000-0005-0000-0000-0000F6150000}"/>
    <cellStyle name="Normal 10 4 3 2 2" xfId="255" xr:uid="{00000000-0005-0000-0000-0000F7150000}"/>
    <cellStyle name="Normal 10 4 3 2 2 2" xfId="256" xr:uid="{00000000-0005-0000-0000-0000F8150000}"/>
    <cellStyle name="Normal 10 4 3 2 3" xfId="257" xr:uid="{00000000-0005-0000-0000-0000F9150000}"/>
    <cellStyle name="Normal 10 4 3 2 3 2" xfId="8456" xr:uid="{00000000-0005-0000-0000-0000FA150000}"/>
    <cellStyle name="Normal 10 4 3 2 4" xfId="8457" xr:uid="{00000000-0005-0000-0000-0000FB150000}"/>
    <cellStyle name="Normal 10 4 3 3" xfId="258" xr:uid="{00000000-0005-0000-0000-0000FC150000}"/>
    <cellStyle name="Normal 10 4 3 3 2" xfId="259" xr:uid="{00000000-0005-0000-0000-0000FD150000}"/>
    <cellStyle name="Normal 10 4 3 3 2 2" xfId="8458" xr:uid="{00000000-0005-0000-0000-0000FE150000}"/>
    <cellStyle name="Normal 10 4 3 3 3" xfId="8459" xr:uid="{00000000-0005-0000-0000-0000FF150000}"/>
    <cellStyle name="Normal 10 4 3 3 3 2" xfId="8460" xr:uid="{00000000-0005-0000-0000-000000160000}"/>
    <cellStyle name="Normal 10 4 3 3 4" xfId="8461" xr:uid="{00000000-0005-0000-0000-000001160000}"/>
    <cellStyle name="Normal 10 4 3 4" xfId="260" xr:uid="{00000000-0005-0000-0000-000002160000}"/>
    <cellStyle name="Normal 10 4 3 4 2" xfId="8462" xr:uid="{00000000-0005-0000-0000-000003160000}"/>
    <cellStyle name="Normal 10 4 3 4 3" xfId="8463" xr:uid="{00000000-0005-0000-0000-000004160000}"/>
    <cellStyle name="Normal 10 4 3 4 4" xfId="8464" xr:uid="{00000000-0005-0000-0000-000005160000}"/>
    <cellStyle name="Normal 10 4 3 5" xfId="8465" xr:uid="{00000000-0005-0000-0000-000006160000}"/>
    <cellStyle name="Normal 10 4 3 5 2" xfId="8466" xr:uid="{00000000-0005-0000-0000-000007160000}"/>
    <cellStyle name="Normal 10 4 3 5 3" xfId="8467" xr:uid="{00000000-0005-0000-0000-000008160000}"/>
    <cellStyle name="Normal 10 4 3 5 4" xfId="8468" xr:uid="{00000000-0005-0000-0000-000009160000}"/>
    <cellStyle name="Normal 10 4 3 6" xfId="8469" xr:uid="{00000000-0005-0000-0000-00000A160000}"/>
    <cellStyle name="Normal 10 4 3 7" xfId="8470" xr:uid="{00000000-0005-0000-0000-00000B160000}"/>
    <cellStyle name="Normal 10 4 3 8" xfId="8471" xr:uid="{00000000-0005-0000-0000-00000C160000}"/>
    <cellStyle name="Normal 10 4 3 9" xfId="8472" xr:uid="{00000000-0005-0000-0000-00000D160000}"/>
    <cellStyle name="Normal 10 4 3_Actual" xfId="8473" xr:uid="{00000000-0005-0000-0000-00000E160000}"/>
    <cellStyle name="Normal 10 4 4" xfId="261" xr:uid="{00000000-0005-0000-0000-00000F160000}"/>
    <cellStyle name="Normal 10 4 4 2" xfId="262" xr:uid="{00000000-0005-0000-0000-000010160000}"/>
    <cellStyle name="Normal 10 4 4 2 2" xfId="263" xr:uid="{00000000-0005-0000-0000-000011160000}"/>
    <cellStyle name="Normal 10 4 4 2 2 2" xfId="8474" xr:uid="{00000000-0005-0000-0000-000012160000}"/>
    <cellStyle name="Normal 10 4 4 2 3" xfId="8475" xr:uid="{00000000-0005-0000-0000-000013160000}"/>
    <cellStyle name="Normal 10 4 4 2 3 2" xfId="8476" xr:uid="{00000000-0005-0000-0000-000014160000}"/>
    <cellStyle name="Normal 10 4 4 2 4" xfId="8477" xr:uid="{00000000-0005-0000-0000-000015160000}"/>
    <cellStyle name="Normal 10 4 4 3" xfId="264" xr:uid="{00000000-0005-0000-0000-000016160000}"/>
    <cellStyle name="Normal 10 4 4 3 2" xfId="8478" xr:uid="{00000000-0005-0000-0000-000017160000}"/>
    <cellStyle name="Normal 10 4 4 3 2 2" xfId="8479" xr:uid="{00000000-0005-0000-0000-000018160000}"/>
    <cellStyle name="Normal 10 4 4 3 3" xfId="8480" xr:uid="{00000000-0005-0000-0000-000019160000}"/>
    <cellStyle name="Normal 10 4 4 3 3 2" xfId="8481" xr:uid="{00000000-0005-0000-0000-00001A160000}"/>
    <cellStyle name="Normal 10 4 4 3 4" xfId="8482" xr:uid="{00000000-0005-0000-0000-00001B160000}"/>
    <cellStyle name="Normal 10 4 4 4" xfId="8483" xr:uid="{00000000-0005-0000-0000-00001C160000}"/>
    <cellStyle name="Normal 10 4 4 4 2" xfId="8484" xr:uid="{00000000-0005-0000-0000-00001D160000}"/>
    <cellStyle name="Normal 10 4 4 4 3" xfId="8485" xr:uid="{00000000-0005-0000-0000-00001E160000}"/>
    <cellStyle name="Normal 10 4 4 4 4" xfId="8486" xr:uid="{00000000-0005-0000-0000-00001F160000}"/>
    <cellStyle name="Normal 10 4 4 5" xfId="8487" xr:uid="{00000000-0005-0000-0000-000020160000}"/>
    <cellStyle name="Normal 10 4 4 5 2" xfId="8488" xr:uid="{00000000-0005-0000-0000-000021160000}"/>
    <cellStyle name="Normal 10 4 4 5 3" xfId="8489" xr:uid="{00000000-0005-0000-0000-000022160000}"/>
    <cellStyle name="Normal 10 4 4 5 4" xfId="8490" xr:uid="{00000000-0005-0000-0000-000023160000}"/>
    <cellStyle name="Normal 10 4 4 6" xfId="8491" xr:uid="{00000000-0005-0000-0000-000024160000}"/>
    <cellStyle name="Normal 10 4 4 7" xfId="8492" xr:uid="{00000000-0005-0000-0000-000025160000}"/>
    <cellStyle name="Normal 10 4 4 8" xfId="8493" xr:uid="{00000000-0005-0000-0000-000026160000}"/>
    <cellStyle name="Normal 10 4 4 9" xfId="8494" xr:uid="{00000000-0005-0000-0000-000027160000}"/>
    <cellStyle name="Normal 10 4 4_Actual" xfId="8495" xr:uid="{00000000-0005-0000-0000-000028160000}"/>
    <cellStyle name="Normal 10 4 5" xfId="265" xr:uid="{00000000-0005-0000-0000-000029160000}"/>
    <cellStyle name="Normal 10 4 5 2" xfId="266" xr:uid="{00000000-0005-0000-0000-00002A160000}"/>
    <cellStyle name="Normal 10 4 5 2 2" xfId="8496" xr:uid="{00000000-0005-0000-0000-00002B160000}"/>
    <cellStyle name="Normal 10 4 5 3" xfId="8497" xr:uid="{00000000-0005-0000-0000-00002C160000}"/>
    <cellStyle name="Normal 10 4 5 3 2" xfId="8498" xr:uid="{00000000-0005-0000-0000-00002D160000}"/>
    <cellStyle name="Normal 10 4 5 4" xfId="8499" xr:uid="{00000000-0005-0000-0000-00002E160000}"/>
    <cellStyle name="Normal 10 4 6" xfId="267" xr:uid="{00000000-0005-0000-0000-00002F160000}"/>
    <cellStyle name="Normal 10 4 6 2" xfId="8500" xr:uid="{00000000-0005-0000-0000-000030160000}"/>
    <cellStyle name="Normal 10 4 6 2 2" xfId="8501" xr:uid="{00000000-0005-0000-0000-000031160000}"/>
    <cellStyle name="Normal 10 4 6 3" xfId="8502" xr:uid="{00000000-0005-0000-0000-000032160000}"/>
    <cellStyle name="Normal 10 4 6 3 2" xfId="8503" xr:uid="{00000000-0005-0000-0000-000033160000}"/>
    <cellStyle name="Normal 10 4 6 4" xfId="8504" xr:uid="{00000000-0005-0000-0000-000034160000}"/>
    <cellStyle name="Normal 10 4 7" xfId="8505" xr:uid="{00000000-0005-0000-0000-000035160000}"/>
    <cellStyle name="Normal 10 4 7 2" xfId="8506" xr:uid="{00000000-0005-0000-0000-000036160000}"/>
    <cellStyle name="Normal 10 4 7 3" xfId="8507" xr:uid="{00000000-0005-0000-0000-000037160000}"/>
    <cellStyle name="Normal 10 4 7 4" xfId="8508" xr:uid="{00000000-0005-0000-0000-000038160000}"/>
    <cellStyle name="Normal 10 4 8" xfId="8509" xr:uid="{00000000-0005-0000-0000-000039160000}"/>
    <cellStyle name="Normal 10 4 8 2" xfId="8510" xr:uid="{00000000-0005-0000-0000-00003A160000}"/>
    <cellStyle name="Normal 10 4 8 3" xfId="8511" xr:uid="{00000000-0005-0000-0000-00003B160000}"/>
    <cellStyle name="Normal 10 4 8 4" xfId="8512" xr:uid="{00000000-0005-0000-0000-00003C160000}"/>
    <cellStyle name="Normal 10 4 9" xfId="8513" xr:uid="{00000000-0005-0000-0000-00003D160000}"/>
    <cellStyle name="Normal 10 4_Actual" xfId="8514" xr:uid="{00000000-0005-0000-0000-00003E160000}"/>
    <cellStyle name="Normal 10 5" xfId="268" xr:uid="{00000000-0005-0000-0000-00003F160000}"/>
    <cellStyle name="Normal 10 5 2" xfId="269" xr:uid="{00000000-0005-0000-0000-000040160000}"/>
    <cellStyle name="Normal 10 5 2 2" xfId="270" xr:uid="{00000000-0005-0000-0000-000041160000}"/>
    <cellStyle name="Normal 10 5 2 2 2" xfId="271" xr:uid="{00000000-0005-0000-0000-000042160000}"/>
    <cellStyle name="Normal 10 5 2 2 2 2" xfId="272" xr:uid="{00000000-0005-0000-0000-000043160000}"/>
    <cellStyle name="Normal 10 5 2 2 3" xfId="273" xr:uid="{00000000-0005-0000-0000-000044160000}"/>
    <cellStyle name="Normal 10 5 2 3" xfId="274" xr:uid="{00000000-0005-0000-0000-000045160000}"/>
    <cellStyle name="Normal 10 5 2 3 2" xfId="275" xr:uid="{00000000-0005-0000-0000-000046160000}"/>
    <cellStyle name="Normal 10 5 2 4" xfId="276" xr:uid="{00000000-0005-0000-0000-000047160000}"/>
    <cellStyle name="Normal 10 5 3" xfId="277" xr:uid="{00000000-0005-0000-0000-000048160000}"/>
    <cellStyle name="Normal 10 5 3 2" xfId="278" xr:uid="{00000000-0005-0000-0000-000049160000}"/>
    <cellStyle name="Normal 10 5 3 2 2" xfId="279" xr:uid="{00000000-0005-0000-0000-00004A160000}"/>
    <cellStyle name="Normal 10 5 3 3" xfId="280" xr:uid="{00000000-0005-0000-0000-00004B160000}"/>
    <cellStyle name="Normal 10 5 3 3 2" xfId="8515" xr:uid="{00000000-0005-0000-0000-00004C160000}"/>
    <cellStyle name="Normal 10 5 3 4" xfId="8516" xr:uid="{00000000-0005-0000-0000-00004D160000}"/>
    <cellStyle name="Normal 10 5 4" xfId="281" xr:uid="{00000000-0005-0000-0000-00004E160000}"/>
    <cellStyle name="Normal 10 5 4 2" xfId="282" xr:uid="{00000000-0005-0000-0000-00004F160000}"/>
    <cellStyle name="Normal 10 5 4 3" xfId="8517" xr:uid="{00000000-0005-0000-0000-000050160000}"/>
    <cellStyle name="Normal 10 5 4 4" xfId="8518" xr:uid="{00000000-0005-0000-0000-000051160000}"/>
    <cellStyle name="Normal 10 5 5" xfId="283" xr:uid="{00000000-0005-0000-0000-000052160000}"/>
    <cellStyle name="Normal 10 5 5 2" xfId="8519" xr:uid="{00000000-0005-0000-0000-000053160000}"/>
    <cellStyle name="Normal 10 5 5 3" xfId="8520" xr:uid="{00000000-0005-0000-0000-000054160000}"/>
    <cellStyle name="Normal 10 5 5 4" xfId="8521" xr:uid="{00000000-0005-0000-0000-000055160000}"/>
    <cellStyle name="Normal 10 5 6" xfId="8522" xr:uid="{00000000-0005-0000-0000-000056160000}"/>
    <cellStyle name="Normal 10 5 7" xfId="8523" xr:uid="{00000000-0005-0000-0000-000057160000}"/>
    <cellStyle name="Normal 10 5 8" xfId="8524" xr:uid="{00000000-0005-0000-0000-000058160000}"/>
    <cellStyle name="Normal 10 5 9" xfId="8525" xr:uid="{00000000-0005-0000-0000-000059160000}"/>
    <cellStyle name="Normal 10 5_Actual" xfId="8526" xr:uid="{00000000-0005-0000-0000-00005A160000}"/>
    <cellStyle name="Normal 10 6" xfId="284" xr:uid="{00000000-0005-0000-0000-00005B160000}"/>
    <cellStyle name="Normal 10 6 2" xfId="285" xr:uid="{00000000-0005-0000-0000-00005C160000}"/>
    <cellStyle name="Normal 10 6 2 2" xfId="286" xr:uid="{00000000-0005-0000-0000-00005D160000}"/>
    <cellStyle name="Normal 10 6 2 2 2" xfId="287" xr:uid="{00000000-0005-0000-0000-00005E160000}"/>
    <cellStyle name="Normal 10 6 2 3" xfId="288" xr:uid="{00000000-0005-0000-0000-00005F160000}"/>
    <cellStyle name="Normal 10 6 2 3 2" xfId="8527" xr:uid="{00000000-0005-0000-0000-000060160000}"/>
    <cellStyle name="Normal 10 6 2 4" xfId="8528" xr:uid="{00000000-0005-0000-0000-000061160000}"/>
    <cellStyle name="Normal 10 6 3" xfId="289" xr:uid="{00000000-0005-0000-0000-000062160000}"/>
    <cellStyle name="Normal 10 6 3 2" xfId="290" xr:uid="{00000000-0005-0000-0000-000063160000}"/>
    <cellStyle name="Normal 10 6 3 2 2" xfId="8529" xr:uid="{00000000-0005-0000-0000-000064160000}"/>
    <cellStyle name="Normal 10 6 3 3" xfId="8530" xr:uid="{00000000-0005-0000-0000-000065160000}"/>
    <cellStyle name="Normal 10 6 3 3 2" xfId="8531" xr:uid="{00000000-0005-0000-0000-000066160000}"/>
    <cellStyle name="Normal 10 6 3 4" xfId="8532" xr:uid="{00000000-0005-0000-0000-000067160000}"/>
    <cellStyle name="Normal 10 6 4" xfId="291" xr:uid="{00000000-0005-0000-0000-000068160000}"/>
    <cellStyle name="Normal 10 6 4 2" xfId="8533" xr:uid="{00000000-0005-0000-0000-000069160000}"/>
    <cellStyle name="Normal 10 6 4 3" xfId="8534" xr:uid="{00000000-0005-0000-0000-00006A160000}"/>
    <cellStyle name="Normal 10 6 4 4" xfId="8535" xr:uid="{00000000-0005-0000-0000-00006B160000}"/>
    <cellStyle name="Normal 10 6 5" xfId="8536" xr:uid="{00000000-0005-0000-0000-00006C160000}"/>
    <cellStyle name="Normal 10 6 5 2" xfId="8537" xr:uid="{00000000-0005-0000-0000-00006D160000}"/>
    <cellStyle name="Normal 10 6 5 3" xfId="8538" xr:uid="{00000000-0005-0000-0000-00006E160000}"/>
    <cellStyle name="Normal 10 6 5 4" xfId="8539" xr:uid="{00000000-0005-0000-0000-00006F160000}"/>
    <cellStyle name="Normal 10 6 6" xfId="8540" xr:uid="{00000000-0005-0000-0000-000070160000}"/>
    <cellStyle name="Normal 10 6 7" xfId="8541" xr:uid="{00000000-0005-0000-0000-000071160000}"/>
    <cellStyle name="Normal 10 6 8" xfId="8542" xr:uid="{00000000-0005-0000-0000-000072160000}"/>
    <cellStyle name="Normal 10 6 9" xfId="8543" xr:uid="{00000000-0005-0000-0000-000073160000}"/>
    <cellStyle name="Normal 10 6_Actual" xfId="8544" xr:uid="{00000000-0005-0000-0000-000074160000}"/>
    <cellStyle name="Normal 10 7" xfId="292" xr:uid="{00000000-0005-0000-0000-000075160000}"/>
    <cellStyle name="Normal 10 7 2" xfId="293" xr:uid="{00000000-0005-0000-0000-000076160000}"/>
    <cellStyle name="Normal 10 7 2 2" xfId="294" xr:uid="{00000000-0005-0000-0000-000077160000}"/>
    <cellStyle name="Normal 10 7 2 2 2" xfId="8545" xr:uid="{00000000-0005-0000-0000-000078160000}"/>
    <cellStyle name="Normal 10 7 2 3" xfId="8546" xr:uid="{00000000-0005-0000-0000-000079160000}"/>
    <cellStyle name="Normal 10 7 2 3 2" xfId="8547" xr:uid="{00000000-0005-0000-0000-00007A160000}"/>
    <cellStyle name="Normal 10 7 2 4" xfId="8548" xr:uid="{00000000-0005-0000-0000-00007B160000}"/>
    <cellStyle name="Normal 10 7 3" xfId="295" xr:uid="{00000000-0005-0000-0000-00007C160000}"/>
    <cellStyle name="Normal 10 7 3 2" xfId="8549" xr:uid="{00000000-0005-0000-0000-00007D160000}"/>
    <cellStyle name="Normal 10 7 3 2 2" xfId="8550" xr:uid="{00000000-0005-0000-0000-00007E160000}"/>
    <cellStyle name="Normal 10 7 3 3" xfId="8551" xr:uid="{00000000-0005-0000-0000-00007F160000}"/>
    <cellStyle name="Normal 10 7 3 3 2" xfId="8552" xr:uid="{00000000-0005-0000-0000-000080160000}"/>
    <cellStyle name="Normal 10 7 3 4" xfId="8553" xr:uid="{00000000-0005-0000-0000-000081160000}"/>
    <cellStyle name="Normal 10 7 4" xfId="8554" xr:uid="{00000000-0005-0000-0000-000082160000}"/>
    <cellStyle name="Normal 10 7 4 2" xfId="8555" xr:uid="{00000000-0005-0000-0000-000083160000}"/>
    <cellStyle name="Normal 10 7 4 3" xfId="8556" xr:uid="{00000000-0005-0000-0000-000084160000}"/>
    <cellStyle name="Normal 10 7 4 4" xfId="8557" xr:uid="{00000000-0005-0000-0000-000085160000}"/>
    <cellStyle name="Normal 10 7 5" xfId="8558" xr:uid="{00000000-0005-0000-0000-000086160000}"/>
    <cellStyle name="Normal 10 7 5 2" xfId="8559" xr:uid="{00000000-0005-0000-0000-000087160000}"/>
    <cellStyle name="Normal 10 7 5 3" xfId="8560" xr:uid="{00000000-0005-0000-0000-000088160000}"/>
    <cellStyle name="Normal 10 7 5 4" xfId="8561" xr:uid="{00000000-0005-0000-0000-000089160000}"/>
    <cellStyle name="Normal 10 7 6" xfId="8562" xr:uid="{00000000-0005-0000-0000-00008A160000}"/>
    <cellStyle name="Normal 10 7 7" xfId="8563" xr:uid="{00000000-0005-0000-0000-00008B160000}"/>
    <cellStyle name="Normal 10 7 8" xfId="8564" xr:uid="{00000000-0005-0000-0000-00008C160000}"/>
    <cellStyle name="Normal 10 7 9" xfId="8565" xr:uid="{00000000-0005-0000-0000-00008D160000}"/>
    <cellStyle name="Normal 10 7_Actual" xfId="8566" xr:uid="{00000000-0005-0000-0000-00008E160000}"/>
    <cellStyle name="Normal 10 8" xfId="296" xr:uid="{00000000-0005-0000-0000-00008F160000}"/>
    <cellStyle name="Normal 10 8 2" xfId="297" xr:uid="{00000000-0005-0000-0000-000090160000}"/>
    <cellStyle name="Normal 10 8 2 2" xfId="8567" xr:uid="{00000000-0005-0000-0000-000091160000}"/>
    <cellStyle name="Normal 10 8 3" xfId="8568" xr:uid="{00000000-0005-0000-0000-000092160000}"/>
    <cellStyle name="Normal 10 8 3 2" xfId="8569" xr:uid="{00000000-0005-0000-0000-000093160000}"/>
    <cellStyle name="Normal 10 8 4" xfId="8570" xr:uid="{00000000-0005-0000-0000-000094160000}"/>
    <cellStyle name="Normal 10 9" xfId="298" xr:uid="{00000000-0005-0000-0000-000095160000}"/>
    <cellStyle name="Normal 10 9 2" xfId="8571" xr:uid="{00000000-0005-0000-0000-000096160000}"/>
    <cellStyle name="Normal 10 9 2 2" xfId="8572" xr:uid="{00000000-0005-0000-0000-000097160000}"/>
    <cellStyle name="Normal 10 9 3" xfId="8573" xr:uid="{00000000-0005-0000-0000-000098160000}"/>
    <cellStyle name="Normal 10 9 3 2" xfId="8574" xr:uid="{00000000-0005-0000-0000-000099160000}"/>
    <cellStyle name="Normal 10 9 4" xfId="8575" xr:uid="{00000000-0005-0000-0000-00009A160000}"/>
    <cellStyle name="Normal 10_Actual" xfId="8576" xr:uid="{00000000-0005-0000-0000-00009B160000}"/>
    <cellStyle name="Normal 100" xfId="8577" xr:uid="{00000000-0005-0000-0000-00009C160000}"/>
    <cellStyle name="Normal 101" xfId="8578" xr:uid="{00000000-0005-0000-0000-00009D160000}"/>
    <cellStyle name="Normal 102" xfId="8579" xr:uid="{00000000-0005-0000-0000-00009E160000}"/>
    <cellStyle name="Normal 103" xfId="8580" xr:uid="{00000000-0005-0000-0000-00009F160000}"/>
    <cellStyle name="Normal 104" xfId="8581" xr:uid="{00000000-0005-0000-0000-0000A0160000}"/>
    <cellStyle name="Normal 105" xfId="8582" xr:uid="{00000000-0005-0000-0000-0000A1160000}"/>
    <cellStyle name="Normal 106" xfId="8583" xr:uid="{00000000-0005-0000-0000-0000A2160000}"/>
    <cellStyle name="Normal 107" xfId="8584" xr:uid="{00000000-0005-0000-0000-0000A3160000}"/>
    <cellStyle name="Normal 108" xfId="8585" xr:uid="{00000000-0005-0000-0000-0000A4160000}"/>
    <cellStyle name="Normal 109" xfId="8586" xr:uid="{00000000-0005-0000-0000-0000A5160000}"/>
    <cellStyle name="Normal 11" xfId="49" xr:uid="{00000000-0005-0000-0000-0000A6160000}"/>
    <cellStyle name="Normal 11 2" xfId="299" xr:uid="{00000000-0005-0000-0000-0000A7160000}"/>
    <cellStyle name="Normal 11 2 2" xfId="300" xr:uid="{00000000-0005-0000-0000-0000A8160000}"/>
    <cellStyle name="Normal 11 2 2 2" xfId="301" xr:uid="{00000000-0005-0000-0000-0000A9160000}"/>
    <cellStyle name="Normal 11 2 2 2 2" xfId="302" xr:uid="{00000000-0005-0000-0000-0000AA160000}"/>
    <cellStyle name="Normal 11 2 2 2 2 2" xfId="303" xr:uid="{00000000-0005-0000-0000-0000AB160000}"/>
    <cellStyle name="Normal 11 2 2 2 2 2 2" xfId="304" xr:uid="{00000000-0005-0000-0000-0000AC160000}"/>
    <cellStyle name="Normal 11 2 2 2 2 2 2 2" xfId="305" xr:uid="{00000000-0005-0000-0000-0000AD160000}"/>
    <cellStyle name="Normal 11 2 2 2 2 2 2 2 2" xfId="306" xr:uid="{00000000-0005-0000-0000-0000AE160000}"/>
    <cellStyle name="Normal 11 2 2 2 2 2 2 3" xfId="307" xr:uid="{00000000-0005-0000-0000-0000AF160000}"/>
    <cellStyle name="Normal 11 2 2 2 2 2 3" xfId="308" xr:uid="{00000000-0005-0000-0000-0000B0160000}"/>
    <cellStyle name="Normal 11 2 2 2 2 2 3 2" xfId="309" xr:uid="{00000000-0005-0000-0000-0000B1160000}"/>
    <cellStyle name="Normal 11 2 2 2 2 2 4" xfId="310" xr:uid="{00000000-0005-0000-0000-0000B2160000}"/>
    <cellStyle name="Normal 11 2 2 2 2 3" xfId="311" xr:uid="{00000000-0005-0000-0000-0000B3160000}"/>
    <cellStyle name="Normal 11 2 2 2 2 3 2" xfId="312" xr:uid="{00000000-0005-0000-0000-0000B4160000}"/>
    <cellStyle name="Normal 11 2 2 2 2 3 2 2" xfId="313" xr:uid="{00000000-0005-0000-0000-0000B5160000}"/>
    <cellStyle name="Normal 11 2 2 2 2 3 3" xfId="314" xr:uid="{00000000-0005-0000-0000-0000B6160000}"/>
    <cellStyle name="Normal 11 2 2 2 2 4" xfId="315" xr:uid="{00000000-0005-0000-0000-0000B7160000}"/>
    <cellStyle name="Normal 11 2 2 2 2 4 2" xfId="316" xr:uid="{00000000-0005-0000-0000-0000B8160000}"/>
    <cellStyle name="Normal 11 2 2 2 2 5" xfId="317" xr:uid="{00000000-0005-0000-0000-0000B9160000}"/>
    <cellStyle name="Normal 11 2 2 2 3" xfId="318" xr:uid="{00000000-0005-0000-0000-0000BA160000}"/>
    <cellStyle name="Normal 11 2 2 2 3 2" xfId="319" xr:uid="{00000000-0005-0000-0000-0000BB160000}"/>
    <cellStyle name="Normal 11 2 2 2 3 2 2" xfId="320" xr:uid="{00000000-0005-0000-0000-0000BC160000}"/>
    <cellStyle name="Normal 11 2 2 2 3 2 2 2" xfId="321" xr:uid="{00000000-0005-0000-0000-0000BD160000}"/>
    <cellStyle name="Normal 11 2 2 2 3 2 3" xfId="322" xr:uid="{00000000-0005-0000-0000-0000BE160000}"/>
    <cellStyle name="Normal 11 2 2 2 3 3" xfId="323" xr:uid="{00000000-0005-0000-0000-0000BF160000}"/>
    <cellStyle name="Normal 11 2 2 2 3 3 2" xfId="324" xr:uid="{00000000-0005-0000-0000-0000C0160000}"/>
    <cellStyle name="Normal 11 2 2 2 3 4" xfId="325" xr:uid="{00000000-0005-0000-0000-0000C1160000}"/>
    <cellStyle name="Normal 11 2 2 2 4" xfId="326" xr:uid="{00000000-0005-0000-0000-0000C2160000}"/>
    <cellStyle name="Normal 11 2 2 2 4 2" xfId="327" xr:uid="{00000000-0005-0000-0000-0000C3160000}"/>
    <cellStyle name="Normal 11 2 2 2 4 2 2" xfId="328" xr:uid="{00000000-0005-0000-0000-0000C4160000}"/>
    <cellStyle name="Normal 11 2 2 2 4 3" xfId="329" xr:uid="{00000000-0005-0000-0000-0000C5160000}"/>
    <cellStyle name="Normal 11 2 2 2 5" xfId="330" xr:uid="{00000000-0005-0000-0000-0000C6160000}"/>
    <cellStyle name="Normal 11 2 2 2 5 2" xfId="331" xr:uid="{00000000-0005-0000-0000-0000C7160000}"/>
    <cellStyle name="Normal 11 2 2 2 6" xfId="332" xr:uid="{00000000-0005-0000-0000-0000C8160000}"/>
    <cellStyle name="Normal 11 2 2 3" xfId="333" xr:uid="{00000000-0005-0000-0000-0000C9160000}"/>
    <cellStyle name="Normal 11 2 2 3 2" xfId="334" xr:uid="{00000000-0005-0000-0000-0000CA160000}"/>
    <cellStyle name="Normal 11 2 2 3 2 2" xfId="335" xr:uid="{00000000-0005-0000-0000-0000CB160000}"/>
    <cellStyle name="Normal 11 2 2 3 2 2 2" xfId="336" xr:uid="{00000000-0005-0000-0000-0000CC160000}"/>
    <cellStyle name="Normal 11 2 2 3 2 2 2 2" xfId="337" xr:uid="{00000000-0005-0000-0000-0000CD160000}"/>
    <cellStyle name="Normal 11 2 2 3 2 2 3" xfId="338" xr:uid="{00000000-0005-0000-0000-0000CE160000}"/>
    <cellStyle name="Normal 11 2 2 3 2 3" xfId="339" xr:uid="{00000000-0005-0000-0000-0000CF160000}"/>
    <cellStyle name="Normal 11 2 2 3 2 3 2" xfId="340" xr:uid="{00000000-0005-0000-0000-0000D0160000}"/>
    <cellStyle name="Normal 11 2 2 3 2 4" xfId="341" xr:uid="{00000000-0005-0000-0000-0000D1160000}"/>
    <cellStyle name="Normal 11 2 2 3 3" xfId="342" xr:uid="{00000000-0005-0000-0000-0000D2160000}"/>
    <cellStyle name="Normal 11 2 2 3 3 2" xfId="343" xr:uid="{00000000-0005-0000-0000-0000D3160000}"/>
    <cellStyle name="Normal 11 2 2 3 3 2 2" xfId="344" xr:uid="{00000000-0005-0000-0000-0000D4160000}"/>
    <cellStyle name="Normal 11 2 2 3 3 3" xfId="345" xr:uid="{00000000-0005-0000-0000-0000D5160000}"/>
    <cellStyle name="Normal 11 2 2 3 4" xfId="346" xr:uid="{00000000-0005-0000-0000-0000D6160000}"/>
    <cellStyle name="Normal 11 2 2 3 4 2" xfId="347" xr:uid="{00000000-0005-0000-0000-0000D7160000}"/>
    <cellStyle name="Normal 11 2 2 3 5" xfId="348" xr:uid="{00000000-0005-0000-0000-0000D8160000}"/>
    <cellStyle name="Normal 11 2 2 4" xfId="349" xr:uid="{00000000-0005-0000-0000-0000D9160000}"/>
    <cellStyle name="Normal 11 2 2 4 2" xfId="350" xr:uid="{00000000-0005-0000-0000-0000DA160000}"/>
    <cellStyle name="Normal 11 2 2 4 2 2" xfId="351" xr:uid="{00000000-0005-0000-0000-0000DB160000}"/>
    <cellStyle name="Normal 11 2 2 4 2 2 2" xfId="352" xr:uid="{00000000-0005-0000-0000-0000DC160000}"/>
    <cellStyle name="Normal 11 2 2 4 2 3" xfId="353" xr:uid="{00000000-0005-0000-0000-0000DD160000}"/>
    <cellStyle name="Normal 11 2 2 4 3" xfId="354" xr:uid="{00000000-0005-0000-0000-0000DE160000}"/>
    <cellStyle name="Normal 11 2 2 4 3 2" xfId="355" xr:uid="{00000000-0005-0000-0000-0000DF160000}"/>
    <cellStyle name="Normal 11 2 2 4 4" xfId="356" xr:uid="{00000000-0005-0000-0000-0000E0160000}"/>
    <cellStyle name="Normal 11 2 2 5" xfId="357" xr:uid="{00000000-0005-0000-0000-0000E1160000}"/>
    <cellStyle name="Normal 11 2 2 5 2" xfId="358" xr:uid="{00000000-0005-0000-0000-0000E2160000}"/>
    <cellStyle name="Normal 11 2 2 5 2 2" xfId="359" xr:uid="{00000000-0005-0000-0000-0000E3160000}"/>
    <cellStyle name="Normal 11 2 2 5 3" xfId="360" xr:uid="{00000000-0005-0000-0000-0000E4160000}"/>
    <cellStyle name="Normal 11 2 2 6" xfId="361" xr:uid="{00000000-0005-0000-0000-0000E5160000}"/>
    <cellStyle name="Normal 11 2 2 6 2" xfId="362" xr:uid="{00000000-0005-0000-0000-0000E6160000}"/>
    <cellStyle name="Normal 11 2 2 7" xfId="363" xr:uid="{00000000-0005-0000-0000-0000E7160000}"/>
    <cellStyle name="Normal 11 2 3" xfId="364" xr:uid="{00000000-0005-0000-0000-0000E8160000}"/>
    <cellStyle name="Normal 11 2 3 2" xfId="365" xr:uid="{00000000-0005-0000-0000-0000E9160000}"/>
    <cellStyle name="Normal 11 2 3 2 2" xfId="366" xr:uid="{00000000-0005-0000-0000-0000EA160000}"/>
    <cellStyle name="Normal 11 2 3 2 2 2" xfId="367" xr:uid="{00000000-0005-0000-0000-0000EB160000}"/>
    <cellStyle name="Normal 11 2 3 2 2 2 2" xfId="368" xr:uid="{00000000-0005-0000-0000-0000EC160000}"/>
    <cellStyle name="Normal 11 2 3 2 2 2 2 2" xfId="369" xr:uid="{00000000-0005-0000-0000-0000ED160000}"/>
    <cellStyle name="Normal 11 2 3 2 2 2 3" xfId="370" xr:uid="{00000000-0005-0000-0000-0000EE160000}"/>
    <cellStyle name="Normal 11 2 3 2 2 3" xfId="371" xr:uid="{00000000-0005-0000-0000-0000EF160000}"/>
    <cellStyle name="Normal 11 2 3 2 2 3 2" xfId="372" xr:uid="{00000000-0005-0000-0000-0000F0160000}"/>
    <cellStyle name="Normal 11 2 3 2 2 4" xfId="373" xr:uid="{00000000-0005-0000-0000-0000F1160000}"/>
    <cellStyle name="Normal 11 2 3 2 3" xfId="374" xr:uid="{00000000-0005-0000-0000-0000F2160000}"/>
    <cellStyle name="Normal 11 2 3 2 3 2" xfId="375" xr:uid="{00000000-0005-0000-0000-0000F3160000}"/>
    <cellStyle name="Normal 11 2 3 2 3 2 2" xfId="376" xr:uid="{00000000-0005-0000-0000-0000F4160000}"/>
    <cellStyle name="Normal 11 2 3 2 3 3" xfId="377" xr:uid="{00000000-0005-0000-0000-0000F5160000}"/>
    <cellStyle name="Normal 11 2 3 2 4" xfId="378" xr:uid="{00000000-0005-0000-0000-0000F6160000}"/>
    <cellStyle name="Normal 11 2 3 2 4 2" xfId="379" xr:uid="{00000000-0005-0000-0000-0000F7160000}"/>
    <cellStyle name="Normal 11 2 3 2 5" xfId="380" xr:uid="{00000000-0005-0000-0000-0000F8160000}"/>
    <cellStyle name="Normal 11 2 3 3" xfId="381" xr:uid="{00000000-0005-0000-0000-0000F9160000}"/>
    <cellStyle name="Normal 11 2 3 3 2" xfId="382" xr:uid="{00000000-0005-0000-0000-0000FA160000}"/>
    <cellStyle name="Normal 11 2 3 3 2 2" xfId="383" xr:uid="{00000000-0005-0000-0000-0000FB160000}"/>
    <cellStyle name="Normal 11 2 3 3 2 2 2" xfId="384" xr:uid="{00000000-0005-0000-0000-0000FC160000}"/>
    <cellStyle name="Normal 11 2 3 3 2 3" xfId="385" xr:uid="{00000000-0005-0000-0000-0000FD160000}"/>
    <cellStyle name="Normal 11 2 3 3 3" xfId="386" xr:uid="{00000000-0005-0000-0000-0000FE160000}"/>
    <cellStyle name="Normal 11 2 3 3 3 2" xfId="387" xr:uid="{00000000-0005-0000-0000-0000FF160000}"/>
    <cellStyle name="Normal 11 2 3 3 4" xfId="388" xr:uid="{00000000-0005-0000-0000-000000170000}"/>
    <cellStyle name="Normal 11 2 3 4" xfId="389" xr:uid="{00000000-0005-0000-0000-000001170000}"/>
    <cellStyle name="Normal 11 2 3 4 2" xfId="390" xr:uid="{00000000-0005-0000-0000-000002170000}"/>
    <cellStyle name="Normal 11 2 3 4 2 2" xfId="391" xr:uid="{00000000-0005-0000-0000-000003170000}"/>
    <cellStyle name="Normal 11 2 3 4 3" xfId="392" xr:uid="{00000000-0005-0000-0000-000004170000}"/>
    <cellStyle name="Normal 11 2 3 5" xfId="393" xr:uid="{00000000-0005-0000-0000-000005170000}"/>
    <cellStyle name="Normal 11 2 3 5 2" xfId="394" xr:uid="{00000000-0005-0000-0000-000006170000}"/>
    <cellStyle name="Normal 11 2 3 6" xfId="395" xr:uid="{00000000-0005-0000-0000-000007170000}"/>
    <cellStyle name="Normal 11 2 4" xfId="396" xr:uid="{00000000-0005-0000-0000-000008170000}"/>
    <cellStyle name="Normal 11 2 4 2" xfId="397" xr:uid="{00000000-0005-0000-0000-000009170000}"/>
    <cellStyle name="Normal 11 2 4 2 2" xfId="398" xr:uid="{00000000-0005-0000-0000-00000A170000}"/>
    <cellStyle name="Normal 11 2 4 2 2 2" xfId="399" xr:uid="{00000000-0005-0000-0000-00000B170000}"/>
    <cellStyle name="Normal 11 2 4 2 2 2 2" xfId="400" xr:uid="{00000000-0005-0000-0000-00000C170000}"/>
    <cellStyle name="Normal 11 2 4 2 2 3" xfId="401" xr:uid="{00000000-0005-0000-0000-00000D170000}"/>
    <cellStyle name="Normal 11 2 4 2 3" xfId="402" xr:uid="{00000000-0005-0000-0000-00000E170000}"/>
    <cellStyle name="Normal 11 2 4 2 3 2" xfId="403" xr:uid="{00000000-0005-0000-0000-00000F170000}"/>
    <cellStyle name="Normal 11 2 4 2 4" xfId="404" xr:uid="{00000000-0005-0000-0000-000010170000}"/>
    <cellStyle name="Normal 11 2 4 3" xfId="405" xr:uid="{00000000-0005-0000-0000-000011170000}"/>
    <cellStyle name="Normal 11 2 4 3 2" xfId="406" xr:uid="{00000000-0005-0000-0000-000012170000}"/>
    <cellStyle name="Normal 11 2 4 3 2 2" xfId="407" xr:uid="{00000000-0005-0000-0000-000013170000}"/>
    <cellStyle name="Normal 11 2 4 3 3" xfId="408" xr:uid="{00000000-0005-0000-0000-000014170000}"/>
    <cellStyle name="Normal 11 2 4 4" xfId="409" xr:uid="{00000000-0005-0000-0000-000015170000}"/>
    <cellStyle name="Normal 11 2 4 4 2" xfId="410" xr:uid="{00000000-0005-0000-0000-000016170000}"/>
    <cellStyle name="Normal 11 2 4 5" xfId="411" xr:uid="{00000000-0005-0000-0000-000017170000}"/>
    <cellStyle name="Normal 11 2 5" xfId="412" xr:uid="{00000000-0005-0000-0000-000018170000}"/>
    <cellStyle name="Normal 11 2 5 2" xfId="413" xr:uid="{00000000-0005-0000-0000-000019170000}"/>
    <cellStyle name="Normal 11 2 5 2 2" xfId="414" xr:uid="{00000000-0005-0000-0000-00001A170000}"/>
    <cellStyle name="Normal 11 2 5 2 2 2" xfId="415" xr:uid="{00000000-0005-0000-0000-00001B170000}"/>
    <cellStyle name="Normal 11 2 5 2 3" xfId="416" xr:uid="{00000000-0005-0000-0000-00001C170000}"/>
    <cellStyle name="Normal 11 2 5 3" xfId="417" xr:uid="{00000000-0005-0000-0000-00001D170000}"/>
    <cellStyle name="Normal 11 2 5 3 2" xfId="418" xr:uid="{00000000-0005-0000-0000-00001E170000}"/>
    <cellStyle name="Normal 11 2 5 4" xfId="419" xr:uid="{00000000-0005-0000-0000-00001F170000}"/>
    <cellStyle name="Normal 11 2 6" xfId="420" xr:uid="{00000000-0005-0000-0000-000020170000}"/>
    <cellStyle name="Normal 11 2 6 2" xfId="421" xr:uid="{00000000-0005-0000-0000-000021170000}"/>
    <cellStyle name="Normal 11 2 6 2 2" xfId="422" xr:uid="{00000000-0005-0000-0000-000022170000}"/>
    <cellStyle name="Normal 11 2 6 3" xfId="423" xr:uid="{00000000-0005-0000-0000-000023170000}"/>
    <cellStyle name="Normal 11 2 7" xfId="424" xr:uid="{00000000-0005-0000-0000-000024170000}"/>
    <cellStyle name="Normal 11 2 7 2" xfId="425" xr:uid="{00000000-0005-0000-0000-000025170000}"/>
    <cellStyle name="Normal 11 2 8" xfId="426" xr:uid="{00000000-0005-0000-0000-000026170000}"/>
    <cellStyle name="Normal 11 3" xfId="427" xr:uid="{00000000-0005-0000-0000-000027170000}"/>
    <cellStyle name="Normal 11 3 2" xfId="428" xr:uid="{00000000-0005-0000-0000-000028170000}"/>
    <cellStyle name="Normal 11 3 2 2" xfId="429" xr:uid="{00000000-0005-0000-0000-000029170000}"/>
    <cellStyle name="Normal 11 3 2 2 2" xfId="430" xr:uid="{00000000-0005-0000-0000-00002A170000}"/>
    <cellStyle name="Normal 11 3 2 2 2 2" xfId="431" xr:uid="{00000000-0005-0000-0000-00002B170000}"/>
    <cellStyle name="Normal 11 3 2 2 2 2 2" xfId="432" xr:uid="{00000000-0005-0000-0000-00002C170000}"/>
    <cellStyle name="Normal 11 3 2 2 2 2 2 2" xfId="433" xr:uid="{00000000-0005-0000-0000-00002D170000}"/>
    <cellStyle name="Normal 11 3 2 2 2 2 3" xfId="434" xr:uid="{00000000-0005-0000-0000-00002E170000}"/>
    <cellStyle name="Normal 11 3 2 2 2 3" xfId="435" xr:uid="{00000000-0005-0000-0000-00002F170000}"/>
    <cellStyle name="Normal 11 3 2 2 2 3 2" xfId="436" xr:uid="{00000000-0005-0000-0000-000030170000}"/>
    <cellStyle name="Normal 11 3 2 2 2 4" xfId="437" xr:uid="{00000000-0005-0000-0000-000031170000}"/>
    <cellStyle name="Normal 11 3 2 2 3" xfId="438" xr:uid="{00000000-0005-0000-0000-000032170000}"/>
    <cellStyle name="Normal 11 3 2 2 3 2" xfId="439" xr:uid="{00000000-0005-0000-0000-000033170000}"/>
    <cellStyle name="Normal 11 3 2 2 3 2 2" xfId="440" xr:uid="{00000000-0005-0000-0000-000034170000}"/>
    <cellStyle name="Normal 11 3 2 2 3 3" xfId="441" xr:uid="{00000000-0005-0000-0000-000035170000}"/>
    <cellStyle name="Normal 11 3 2 2 4" xfId="442" xr:uid="{00000000-0005-0000-0000-000036170000}"/>
    <cellStyle name="Normal 11 3 2 2 4 2" xfId="443" xr:uid="{00000000-0005-0000-0000-000037170000}"/>
    <cellStyle name="Normal 11 3 2 2 5" xfId="444" xr:uid="{00000000-0005-0000-0000-000038170000}"/>
    <cellStyle name="Normal 11 3 2 3" xfId="445" xr:uid="{00000000-0005-0000-0000-000039170000}"/>
    <cellStyle name="Normal 11 3 2 3 2" xfId="446" xr:uid="{00000000-0005-0000-0000-00003A170000}"/>
    <cellStyle name="Normal 11 3 2 3 2 2" xfId="447" xr:uid="{00000000-0005-0000-0000-00003B170000}"/>
    <cellStyle name="Normal 11 3 2 3 2 2 2" xfId="448" xr:uid="{00000000-0005-0000-0000-00003C170000}"/>
    <cellStyle name="Normal 11 3 2 3 2 3" xfId="449" xr:uid="{00000000-0005-0000-0000-00003D170000}"/>
    <cellStyle name="Normal 11 3 2 3 3" xfId="450" xr:uid="{00000000-0005-0000-0000-00003E170000}"/>
    <cellStyle name="Normal 11 3 2 3 3 2" xfId="451" xr:uid="{00000000-0005-0000-0000-00003F170000}"/>
    <cellStyle name="Normal 11 3 2 3 4" xfId="452" xr:uid="{00000000-0005-0000-0000-000040170000}"/>
    <cellStyle name="Normal 11 3 2 4" xfId="453" xr:uid="{00000000-0005-0000-0000-000041170000}"/>
    <cellStyle name="Normal 11 3 2 4 2" xfId="454" xr:uid="{00000000-0005-0000-0000-000042170000}"/>
    <cellStyle name="Normal 11 3 2 4 2 2" xfId="455" xr:uid="{00000000-0005-0000-0000-000043170000}"/>
    <cellStyle name="Normal 11 3 2 4 3" xfId="456" xr:uid="{00000000-0005-0000-0000-000044170000}"/>
    <cellStyle name="Normal 11 3 2 5" xfId="457" xr:uid="{00000000-0005-0000-0000-000045170000}"/>
    <cellStyle name="Normal 11 3 2 5 2" xfId="458" xr:uid="{00000000-0005-0000-0000-000046170000}"/>
    <cellStyle name="Normal 11 3 2 6" xfId="459" xr:uid="{00000000-0005-0000-0000-000047170000}"/>
    <cellStyle name="Normal 11 3 3" xfId="460" xr:uid="{00000000-0005-0000-0000-000048170000}"/>
    <cellStyle name="Normal 11 3 3 2" xfId="461" xr:uid="{00000000-0005-0000-0000-000049170000}"/>
    <cellStyle name="Normal 11 3 3 2 2" xfId="462" xr:uid="{00000000-0005-0000-0000-00004A170000}"/>
    <cellStyle name="Normal 11 3 3 2 2 2" xfId="463" xr:uid="{00000000-0005-0000-0000-00004B170000}"/>
    <cellStyle name="Normal 11 3 3 2 2 2 2" xfId="464" xr:uid="{00000000-0005-0000-0000-00004C170000}"/>
    <cellStyle name="Normal 11 3 3 2 2 3" xfId="465" xr:uid="{00000000-0005-0000-0000-00004D170000}"/>
    <cellStyle name="Normal 11 3 3 2 3" xfId="466" xr:uid="{00000000-0005-0000-0000-00004E170000}"/>
    <cellStyle name="Normal 11 3 3 2 3 2" xfId="467" xr:uid="{00000000-0005-0000-0000-00004F170000}"/>
    <cellStyle name="Normal 11 3 3 2 4" xfId="468" xr:uid="{00000000-0005-0000-0000-000050170000}"/>
    <cellStyle name="Normal 11 3 3 3" xfId="469" xr:uid="{00000000-0005-0000-0000-000051170000}"/>
    <cellStyle name="Normal 11 3 3 3 2" xfId="470" xr:uid="{00000000-0005-0000-0000-000052170000}"/>
    <cellStyle name="Normal 11 3 3 3 2 2" xfId="471" xr:uid="{00000000-0005-0000-0000-000053170000}"/>
    <cellStyle name="Normal 11 3 3 3 3" xfId="472" xr:uid="{00000000-0005-0000-0000-000054170000}"/>
    <cellStyle name="Normal 11 3 3 4" xfId="473" xr:uid="{00000000-0005-0000-0000-000055170000}"/>
    <cellStyle name="Normal 11 3 3 4 2" xfId="474" xr:uid="{00000000-0005-0000-0000-000056170000}"/>
    <cellStyle name="Normal 11 3 3 5" xfId="475" xr:uid="{00000000-0005-0000-0000-000057170000}"/>
    <cellStyle name="Normal 11 3 4" xfId="476" xr:uid="{00000000-0005-0000-0000-000058170000}"/>
    <cellStyle name="Normal 11 3 4 2" xfId="477" xr:uid="{00000000-0005-0000-0000-000059170000}"/>
    <cellStyle name="Normal 11 3 4 2 2" xfId="478" xr:uid="{00000000-0005-0000-0000-00005A170000}"/>
    <cellStyle name="Normal 11 3 4 2 2 2" xfId="479" xr:uid="{00000000-0005-0000-0000-00005B170000}"/>
    <cellStyle name="Normal 11 3 4 2 3" xfId="480" xr:uid="{00000000-0005-0000-0000-00005C170000}"/>
    <cellStyle name="Normal 11 3 4 3" xfId="481" xr:uid="{00000000-0005-0000-0000-00005D170000}"/>
    <cellStyle name="Normal 11 3 4 3 2" xfId="482" xr:uid="{00000000-0005-0000-0000-00005E170000}"/>
    <cellStyle name="Normal 11 3 4 4" xfId="483" xr:uid="{00000000-0005-0000-0000-00005F170000}"/>
    <cellStyle name="Normal 11 3 5" xfId="484" xr:uid="{00000000-0005-0000-0000-000060170000}"/>
    <cellStyle name="Normal 11 3 5 2" xfId="485" xr:uid="{00000000-0005-0000-0000-000061170000}"/>
    <cellStyle name="Normal 11 3 5 2 2" xfId="486" xr:uid="{00000000-0005-0000-0000-000062170000}"/>
    <cellStyle name="Normal 11 3 5 3" xfId="487" xr:uid="{00000000-0005-0000-0000-000063170000}"/>
    <cellStyle name="Normal 11 3 6" xfId="488" xr:uid="{00000000-0005-0000-0000-000064170000}"/>
    <cellStyle name="Normal 11 3 6 2" xfId="489" xr:uid="{00000000-0005-0000-0000-000065170000}"/>
    <cellStyle name="Normal 11 3 7" xfId="490" xr:uid="{00000000-0005-0000-0000-000066170000}"/>
    <cellStyle name="Normal 11 4" xfId="491" xr:uid="{00000000-0005-0000-0000-000067170000}"/>
    <cellStyle name="Normal 11 4 2" xfId="492" xr:uid="{00000000-0005-0000-0000-000068170000}"/>
    <cellStyle name="Normal 11 4 2 2" xfId="493" xr:uid="{00000000-0005-0000-0000-000069170000}"/>
    <cellStyle name="Normal 11 4 2 2 2" xfId="494" xr:uid="{00000000-0005-0000-0000-00006A170000}"/>
    <cellStyle name="Normal 11 4 2 2 2 2" xfId="495" xr:uid="{00000000-0005-0000-0000-00006B170000}"/>
    <cellStyle name="Normal 11 4 2 2 2 2 2" xfId="496" xr:uid="{00000000-0005-0000-0000-00006C170000}"/>
    <cellStyle name="Normal 11 4 2 2 2 3" xfId="497" xr:uid="{00000000-0005-0000-0000-00006D170000}"/>
    <cellStyle name="Normal 11 4 2 2 3" xfId="498" xr:uid="{00000000-0005-0000-0000-00006E170000}"/>
    <cellStyle name="Normal 11 4 2 2 3 2" xfId="499" xr:uid="{00000000-0005-0000-0000-00006F170000}"/>
    <cellStyle name="Normal 11 4 2 2 4" xfId="500" xr:uid="{00000000-0005-0000-0000-000070170000}"/>
    <cellStyle name="Normal 11 4 2 3" xfId="501" xr:uid="{00000000-0005-0000-0000-000071170000}"/>
    <cellStyle name="Normal 11 4 2 3 2" xfId="502" xr:uid="{00000000-0005-0000-0000-000072170000}"/>
    <cellStyle name="Normal 11 4 2 3 2 2" xfId="503" xr:uid="{00000000-0005-0000-0000-000073170000}"/>
    <cellStyle name="Normal 11 4 2 3 3" xfId="504" xr:uid="{00000000-0005-0000-0000-000074170000}"/>
    <cellStyle name="Normal 11 4 2 4" xfId="505" xr:uid="{00000000-0005-0000-0000-000075170000}"/>
    <cellStyle name="Normal 11 4 2 4 2" xfId="506" xr:uid="{00000000-0005-0000-0000-000076170000}"/>
    <cellStyle name="Normal 11 4 2 5" xfId="507" xr:uid="{00000000-0005-0000-0000-000077170000}"/>
    <cellStyle name="Normal 11 4 3" xfId="508" xr:uid="{00000000-0005-0000-0000-000078170000}"/>
    <cellStyle name="Normal 11 4 3 2" xfId="509" xr:uid="{00000000-0005-0000-0000-000079170000}"/>
    <cellStyle name="Normal 11 4 3 2 2" xfId="510" xr:uid="{00000000-0005-0000-0000-00007A170000}"/>
    <cellStyle name="Normal 11 4 3 2 2 2" xfId="511" xr:uid="{00000000-0005-0000-0000-00007B170000}"/>
    <cellStyle name="Normal 11 4 3 2 3" xfId="512" xr:uid="{00000000-0005-0000-0000-00007C170000}"/>
    <cellStyle name="Normal 11 4 3 3" xfId="513" xr:uid="{00000000-0005-0000-0000-00007D170000}"/>
    <cellStyle name="Normal 11 4 3 3 2" xfId="514" xr:uid="{00000000-0005-0000-0000-00007E170000}"/>
    <cellStyle name="Normal 11 4 3 4" xfId="515" xr:uid="{00000000-0005-0000-0000-00007F170000}"/>
    <cellStyle name="Normal 11 4 4" xfId="516" xr:uid="{00000000-0005-0000-0000-000080170000}"/>
    <cellStyle name="Normal 11 4 4 2" xfId="517" xr:uid="{00000000-0005-0000-0000-000081170000}"/>
    <cellStyle name="Normal 11 4 4 2 2" xfId="518" xr:uid="{00000000-0005-0000-0000-000082170000}"/>
    <cellStyle name="Normal 11 4 4 3" xfId="519" xr:uid="{00000000-0005-0000-0000-000083170000}"/>
    <cellStyle name="Normal 11 4 5" xfId="520" xr:uid="{00000000-0005-0000-0000-000084170000}"/>
    <cellStyle name="Normal 11 4 5 2" xfId="521" xr:uid="{00000000-0005-0000-0000-000085170000}"/>
    <cellStyle name="Normal 11 4 6" xfId="522" xr:uid="{00000000-0005-0000-0000-000086170000}"/>
    <cellStyle name="Normal 11 5" xfId="523" xr:uid="{00000000-0005-0000-0000-000087170000}"/>
    <cellStyle name="Normal 11 5 2" xfId="524" xr:uid="{00000000-0005-0000-0000-000088170000}"/>
    <cellStyle name="Normal 11 5 2 2" xfId="525" xr:uid="{00000000-0005-0000-0000-000089170000}"/>
    <cellStyle name="Normal 11 5 2 2 2" xfId="526" xr:uid="{00000000-0005-0000-0000-00008A170000}"/>
    <cellStyle name="Normal 11 5 2 2 2 2" xfId="527" xr:uid="{00000000-0005-0000-0000-00008B170000}"/>
    <cellStyle name="Normal 11 5 2 2 3" xfId="528" xr:uid="{00000000-0005-0000-0000-00008C170000}"/>
    <cellStyle name="Normal 11 5 2 3" xfId="529" xr:uid="{00000000-0005-0000-0000-00008D170000}"/>
    <cellStyle name="Normal 11 5 2 3 2" xfId="530" xr:uid="{00000000-0005-0000-0000-00008E170000}"/>
    <cellStyle name="Normal 11 5 2 4" xfId="531" xr:uid="{00000000-0005-0000-0000-00008F170000}"/>
    <cellStyle name="Normal 11 5 3" xfId="532" xr:uid="{00000000-0005-0000-0000-000090170000}"/>
    <cellStyle name="Normal 11 5 3 2" xfId="533" xr:uid="{00000000-0005-0000-0000-000091170000}"/>
    <cellStyle name="Normal 11 5 3 2 2" xfId="534" xr:uid="{00000000-0005-0000-0000-000092170000}"/>
    <cellStyle name="Normal 11 5 3 3" xfId="535" xr:uid="{00000000-0005-0000-0000-000093170000}"/>
    <cellStyle name="Normal 11 5 4" xfId="536" xr:uid="{00000000-0005-0000-0000-000094170000}"/>
    <cellStyle name="Normal 11 5 4 2" xfId="537" xr:uid="{00000000-0005-0000-0000-000095170000}"/>
    <cellStyle name="Normal 11 5 5" xfId="538" xr:uid="{00000000-0005-0000-0000-000096170000}"/>
    <cellStyle name="Normal 11 6" xfId="539" xr:uid="{00000000-0005-0000-0000-000097170000}"/>
    <cellStyle name="Normal 11 6 2" xfId="540" xr:uid="{00000000-0005-0000-0000-000098170000}"/>
    <cellStyle name="Normal 11 6 2 2" xfId="541" xr:uid="{00000000-0005-0000-0000-000099170000}"/>
    <cellStyle name="Normal 11 6 2 2 2" xfId="542" xr:uid="{00000000-0005-0000-0000-00009A170000}"/>
    <cellStyle name="Normal 11 6 2 3" xfId="543" xr:uid="{00000000-0005-0000-0000-00009B170000}"/>
    <cellStyle name="Normal 11 6 3" xfId="544" xr:uid="{00000000-0005-0000-0000-00009C170000}"/>
    <cellStyle name="Normal 11 6 3 2" xfId="545" xr:uid="{00000000-0005-0000-0000-00009D170000}"/>
    <cellStyle name="Normal 11 6 4" xfId="546" xr:uid="{00000000-0005-0000-0000-00009E170000}"/>
    <cellStyle name="Normal 11 7" xfId="547" xr:uid="{00000000-0005-0000-0000-00009F170000}"/>
    <cellStyle name="Normal 11 7 2" xfId="548" xr:uid="{00000000-0005-0000-0000-0000A0170000}"/>
    <cellStyle name="Normal 11 7 2 2" xfId="549" xr:uid="{00000000-0005-0000-0000-0000A1170000}"/>
    <cellStyle name="Normal 11 7 3" xfId="550" xr:uid="{00000000-0005-0000-0000-0000A2170000}"/>
    <cellStyle name="Normal 11 8" xfId="551" xr:uid="{00000000-0005-0000-0000-0000A3170000}"/>
    <cellStyle name="Normal 11 8 2" xfId="552" xr:uid="{00000000-0005-0000-0000-0000A4170000}"/>
    <cellStyle name="Normal 11 9" xfId="553" xr:uid="{00000000-0005-0000-0000-0000A5170000}"/>
    <cellStyle name="Normal 11_II-I-1 TRAN" xfId="8587" xr:uid="{00000000-0005-0000-0000-0000A6170000}"/>
    <cellStyle name="Normal 110" xfId="8588" xr:uid="{00000000-0005-0000-0000-0000A7170000}"/>
    <cellStyle name="Normal 111" xfId="8589" xr:uid="{00000000-0005-0000-0000-0000A8170000}"/>
    <cellStyle name="Normal 112" xfId="8590" xr:uid="{00000000-0005-0000-0000-0000A9170000}"/>
    <cellStyle name="Normal 113" xfId="8591" xr:uid="{00000000-0005-0000-0000-0000AA170000}"/>
    <cellStyle name="Normal 114" xfId="8592" xr:uid="{00000000-0005-0000-0000-0000AB170000}"/>
    <cellStyle name="Normal 115" xfId="8593" xr:uid="{00000000-0005-0000-0000-0000AC170000}"/>
    <cellStyle name="Normal 116" xfId="8594" xr:uid="{00000000-0005-0000-0000-0000AD170000}"/>
    <cellStyle name="Normal 117" xfId="8595" xr:uid="{00000000-0005-0000-0000-0000AE170000}"/>
    <cellStyle name="Normal 118" xfId="8596" xr:uid="{00000000-0005-0000-0000-0000AF170000}"/>
    <cellStyle name="Normal 119" xfId="8597" xr:uid="{00000000-0005-0000-0000-0000B0170000}"/>
    <cellStyle name="Normal 12" xfId="554" xr:uid="{00000000-0005-0000-0000-0000B1170000}"/>
    <cellStyle name="Normal 12 2" xfId="555" xr:uid="{00000000-0005-0000-0000-0000B2170000}"/>
    <cellStyle name="Normal 12 2 2" xfId="556" xr:uid="{00000000-0005-0000-0000-0000B3170000}"/>
    <cellStyle name="Normal 12 2 2 2" xfId="557" xr:uid="{00000000-0005-0000-0000-0000B4170000}"/>
    <cellStyle name="Normal 12 2 2 2 2" xfId="558" xr:uid="{00000000-0005-0000-0000-0000B5170000}"/>
    <cellStyle name="Normal 12 2 2 2 2 2" xfId="559" xr:uid="{00000000-0005-0000-0000-0000B6170000}"/>
    <cellStyle name="Normal 12 2 2 2 2 2 2" xfId="560" xr:uid="{00000000-0005-0000-0000-0000B7170000}"/>
    <cellStyle name="Normal 12 2 2 2 2 2 2 2" xfId="561" xr:uid="{00000000-0005-0000-0000-0000B8170000}"/>
    <cellStyle name="Normal 12 2 2 2 2 2 3" xfId="562" xr:uid="{00000000-0005-0000-0000-0000B9170000}"/>
    <cellStyle name="Normal 12 2 2 2 2 3" xfId="563" xr:uid="{00000000-0005-0000-0000-0000BA170000}"/>
    <cellStyle name="Normal 12 2 2 2 2 3 2" xfId="564" xr:uid="{00000000-0005-0000-0000-0000BB170000}"/>
    <cellStyle name="Normal 12 2 2 2 2 4" xfId="565" xr:uid="{00000000-0005-0000-0000-0000BC170000}"/>
    <cellStyle name="Normal 12 2 2 2 3" xfId="566" xr:uid="{00000000-0005-0000-0000-0000BD170000}"/>
    <cellStyle name="Normal 12 2 2 2 3 2" xfId="567" xr:uid="{00000000-0005-0000-0000-0000BE170000}"/>
    <cellStyle name="Normal 12 2 2 2 3 2 2" xfId="568" xr:uid="{00000000-0005-0000-0000-0000BF170000}"/>
    <cellStyle name="Normal 12 2 2 2 3 3" xfId="569" xr:uid="{00000000-0005-0000-0000-0000C0170000}"/>
    <cellStyle name="Normal 12 2 2 2 4" xfId="570" xr:uid="{00000000-0005-0000-0000-0000C1170000}"/>
    <cellStyle name="Normal 12 2 2 2 4 2" xfId="571" xr:uid="{00000000-0005-0000-0000-0000C2170000}"/>
    <cellStyle name="Normal 12 2 2 2 5" xfId="572" xr:uid="{00000000-0005-0000-0000-0000C3170000}"/>
    <cellStyle name="Normal 12 2 2 3" xfId="573" xr:uid="{00000000-0005-0000-0000-0000C4170000}"/>
    <cellStyle name="Normal 12 2 2 3 2" xfId="574" xr:uid="{00000000-0005-0000-0000-0000C5170000}"/>
    <cellStyle name="Normal 12 2 2 3 2 2" xfId="575" xr:uid="{00000000-0005-0000-0000-0000C6170000}"/>
    <cellStyle name="Normal 12 2 2 3 2 2 2" xfId="576" xr:uid="{00000000-0005-0000-0000-0000C7170000}"/>
    <cellStyle name="Normal 12 2 2 3 2 3" xfId="577" xr:uid="{00000000-0005-0000-0000-0000C8170000}"/>
    <cellStyle name="Normal 12 2 2 3 3" xfId="578" xr:uid="{00000000-0005-0000-0000-0000C9170000}"/>
    <cellStyle name="Normal 12 2 2 3 3 2" xfId="579" xr:uid="{00000000-0005-0000-0000-0000CA170000}"/>
    <cellStyle name="Normal 12 2 2 3 4" xfId="580" xr:uid="{00000000-0005-0000-0000-0000CB170000}"/>
    <cellStyle name="Normal 12 2 2 4" xfId="581" xr:uid="{00000000-0005-0000-0000-0000CC170000}"/>
    <cellStyle name="Normal 12 2 2 4 2" xfId="582" xr:uid="{00000000-0005-0000-0000-0000CD170000}"/>
    <cellStyle name="Normal 12 2 2 4 2 2" xfId="583" xr:uid="{00000000-0005-0000-0000-0000CE170000}"/>
    <cellStyle name="Normal 12 2 2 4 3" xfId="584" xr:uid="{00000000-0005-0000-0000-0000CF170000}"/>
    <cellStyle name="Normal 12 2 2 5" xfId="585" xr:uid="{00000000-0005-0000-0000-0000D0170000}"/>
    <cellStyle name="Normal 12 2 2 5 2" xfId="586" xr:uid="{00000000-0005-0000-0000-0000D1170000}"/>
    <cellStyle name="Normal 12 2 2 6" xfId="587" xr:uid="{00000000-0005-0000-0000-0000D2170000}"/>
    <cellStyle name="Normal 12 2 3" xfId="588" xr:uid="{00000000-0005-0000-0000-0000D3170000}"/>
    <cellStyle name="Normal 12 2 3 2" xfId="589" xr:uid="{00000000-0005-0000-0000-0000D4170000}"/>
    <cellStyle name="Normal 12 2 3 2 2" xfId="590" xr:uid="{00000000-0005-0000-0000-0000D5170000}"/>
    <cellStyle name="Normal 12 2 3 2 2 2" xfId="591" xr:uid="{00000000-0005-0000-0000-0000D6170000}"/>
    <cellStyle name="Normal 12 2 3 2 2 2 2" xfId="592" xr:uid="{00000000-0005-0000-0000-0000D7170000}"/>
    <cellStyle name="Normal 12 2 3 2 2 3" xfId="593" xr:uid="{00000000-0005-0000-0000-0000D8170000}"/>
    <cellStyle name="Normal 12 2 3 2 3" xfId="594" xr:uid="{00000000-0005-0000-0000-0000D9170000}"/>
    <cellStyle name="Normal 12 2 3 2 3 2" xfId="595" xr:uid="{00000000-0005-0000-0000-0000DA170000}"/>
    <cellStyle name="Normal 12 2 3 2 4" xfId="596" xr:uid="{00000000-0005-0000-0000-0000DB170000}"/>
    <cellStyle name="Normal 12 2 3 3" xfId="597" xr:uid="{00000000-0005-0000-0000-0000DC170000}"/>
    <cellStyle name="Normal 12 2 3 3 2" xfId="598" xr:uid="{00000000-0005-0000-0000-0000DD170000}"/>
    <cellStyle name="Normal 12 2 3 3 2 2" xfId="599" xr:uid="{00000000-0005-0000-0000-0000DE170000}"/>
    <cellStyle name="Normal 12 2 3 3 3" xfId="600" xr:uid="{00000000-0005-0000-0000-0000DF170000}"/>
    <cellStyle name="Normal 12 2 3 4" xfId="601" xr:uid="{00000000-0005-0000-0000-0000E0170000}"/>
    <cellStyle name="Normal 12 2 3 4 2" xfId="602" xr:uid="{00000000-0005-0000-0000-0000E1170000}"/>
    <cellStyle name="Normal 12 2 3 5" xfId="603" xr:uid="{00000000-0005-0000-0000-0000E2170000}"/>
    <cellStyle name="Normal 12 2 4" xfId="604" xr:uid="{00000000-0005-0000-0000-0000E3170000}"/>
    <cellStyle name="Normal 12 2 4 2" xfId="605" xr:uid="{00000000-0005-0000-0000-0000E4170000}"/>
    <cellStyle name="Normal 12 2 4 2 2" xfId="606" xr:uid="{00000000-0005-0000-0000-0000E5170000}"/>
    <cellStyle name="Normal 12 2 4 2 2 2" xfId="607" xr:uid="{00000000-0005-0000-0000-0000E6170000}"/>
    <cellStyle name="Normal 12 2 4 2 3" xfId="608" xr:uid="{00000000-0005-0000-0000-0000E7170000}"/>
    <cellStyle name="Normal 12 2 4 3" xfId="609" xr:uid="{00000000-0005-0000-0000-0000E8170000}"/>
    <cellStyle name="Normal 12 2 4 3 2" xfId="610" xr:uid="{00000000-0005-0000-0000-0000E9170000}"/>
    <cellStyle name="Normal 12 2 4 4" xfId="611" xr:uid="{00000000-0005-0000-0000-0000EA170000}"/>
    <cellStyle name="Normal 12 2 5" xfId="612" xr:uid="{00000000-0005-0000-0000-0000EB170000}"/>
    <cellStyle name="Normal 12 2 5 2" xfId="613" xr:uid="{00000000-0005-0000-0000-0000EC170000}"/>
    <cellStyle name="Normal 12 2 5 2 2" xfId="614" xr:uid="{00000000-0005-0000-0000-0000ED170000}"/>
    <cellStyle name="Normal 12 2 5 3" xfId="615" xr:uid="{00000000-0005-0000-0000-0000EE170000}"/>
    <cellStyle name="Normal 12 2 6" xfId="616" xr:uid="{00000000-0005-0000-0000-0000EF170000}"/>
    <cellStyle name="Normal 12 2 6 2" xfId="617" xr:uid="{00000000-0005-0000-0000-0000F0170000}"/>
    <cellStyle name="Normal 12 2 7" xfId="618" xr:uid="{00000000-0005-0000-0000-0000F1170000}"/>
    <cellStyle name="Normal 12 3" xfId="619" xr:uid="{00000000-0005-0000-0000-0000F2170000}"/>
    <cellStyle name="Normal 12 3 2" xfId="620" xr:uid="{00000000-0005-0000-0000-0000F3170000}"/>
    <cellStyle name="Normal 12 3 2 2" xfId="621" xr:uid="{00000000-0005-0000-0000-0000F4170000}"/>
    <cellStyle name="Normal 12 3 2 2 2" xfId="622" xr:uid="{00000000-0005-0000-0000-0000F5170000}"/>
    <cellStyle name="Normal 12 3 2 2 2 2" xfId="623" xr:uid="{00000000-0005-0000-0000-0000F6170000}"/>
    <cellStyle name="Normal 12 3 2 2 2 2 2" xfId="624" xr:uid="{00000000-0005-0000-0000-0000F7170000}"/>
    <cellStyle name="Normal 12 3 2 2 2 3" xfId="625" xr:uid="{00000000-0005-0000-0000-0000F8170000}"/>
    <cellStyle name="Normal 12 3 2 2 3" xfId="626" xr:uid="{00000000-0005-0000-0000-0000F9170000}"/>
    <cellStyle name="Normal 12 3 2 2 3 2" xfId="627" xr:uid="{00000000-0005-0000-0000-0000FA170000}"/>
    <cellStyle name="Normal 12 3 2 2 4" xfId="628" xr:uid="{00000000-0005-0000-0000-0000FB170000}"/>
    <cellStyle name="Normal 12 3 2 3" xfId="629" xr:uid="{00000000-0005-0000-0000-0000FC170000}"/>
    <cellStyle name="Normal 12 3 2 3 2" xfId="630" xr:uid="{00000000-0005-0000-0000-0000FD170000}"/>
    <cellStyle name="Normal 12 3 2 3 2 2" xfId="631" xr:uid="{00000000-0005-0000-0000-0000FE170000}"/>
    <cellStyle name="Normal 12 3 2 3 3" xfId="632" xr:uid="{00000000-0005-0000-0000-0000FF170000}"/>
    <cellStyle name="Normal 12 3 2 4" xfId="633" xr:uid="{00000000-0005-0000-0000-000000180000}"/>
    <cellStyle name="Normal 12 3 2 4 2" xfId="634" xr:uid="{00000000-0005-0000-0000-000001180000}"/>
    <cellStyle name="Normal 12 3 2 5" xfId="635" xr:uid="{00000000-0005-0000-0000-000002180000}"/>
    <cellStyle name="Normal 12 3 3" xfId="636" xr:uid="{00000000-0005-0000-0000-000003180000}"/>
    <cellStyle name="Normal 12 3 3 2" xfId="637" xr:uid="{00000000-0005-0000-0000-000004180000}"/>
    <cellStyle name="Normal 12 3 3 2 2" xfId="638" xr:uid="{00000000-0005-0000-0000-000005180000}"/>
    <cellStyle name="Normal 12 3 3 2 2 2" xfId="639" xr:uid="{00000000-0005-0000-0000-000006180000}"/>
    <cellStyle name="Normal 12 3 3 2 3" xfId="640" xr:uid="{00000000-0005-0000-0000-000007180000}"/>
    <cellStyle name="Normal 12 3 3 3" xfId="641" xr:uid="{00000000-0005-0000-0000-000008180000}"/>
    <cellStyle name="Normal 12 3 3 3 2" xfId="642" xr:uid="{00000000-0005-0000-0000-000009180000}"/>
    <cellStyle name="Normal 12 3 3 4" xfId="643" xr:uid="{00000000-0005-0000-0000-00000A180000}"/>
    <cellStyle name="Normal 12 3 4" xfId="644" xr:uid="{00000000-0005-0000-0000-00000B180000}"/>
    <cellStyle name="Normal 12 3 4 2" xfId="645" xr:uid="{00000000-0005-0000-0000-00000C180000}"/>
    <cellStyle name="Normal 12 3 4 2 2" xfId="646" xr:uid="{00000000-0005-0000-0000-00000D180000}"/>
    <cellStyle name="Normal 12 3 4 3" xfId="647" xr:uid="{00000000-0005-0000-0000-00000E180000}"/>
    <cellStyle name="Normal 12 3 5" xfId="648" xr:uid="{00000000-0005-0000-0000-00000F180000}"/>
    <cellStyle name="Normal 12 3 5 2" xfId="649" xr:uid="{00000000-0005-0000-0000-000010180000}"/>
    <cellStyle name="Normal 12 3 6" xfId="650" xr:uid="{00000000-0005-0000-0000-000011180000}"/>
    <cellStyle name="Normal 12 4" xfId="651" xr:uid="{00000000-0005-0000-0000-000012180000}"/>
    <cellStyle name="Normal 12 4 2" xfId="652" xr:uid="{00000000-0005-0000-0000-000013180000}"/>
    <cellStyle name="Normal 12 4 2 2" xfId="653" xr:uid="{00000000-0005-0000-0000-000014180000}"/>
    <cellStyle name="Normal 12 4 2 2 2" xfId="654" xr:uid="{00000000-0005-0000-0000-000015180000}"/>
    <cellStyle name="Normal 12 4 2 2 2 2" xfId="655" xr:uid="{00000000-0005-0000-0000-000016180000}"/>
    <cellStyle name="Normal 12 4 2 2 3" xfId="656" xr:uid="{00000000-0005-0000-0000-000017180000}"/>
    <cellStyle name="Normal 12 4 2 3" xfId="657" xr:uid="{00000000-0005-0000-0000-000018180000}"/>
    <cellStyle name="Normal 12 4 2 3 2" xfId="658" xr:uid="{00000000-0005-0000-0000-000019180000}"/>
    <cellStyle name="Normal 12 4 2 4" xfId="659" xr:uid="{00000000-0005-0000-0000-00001A180000}"/>
    <cellStyle name="Normal 12 4 3" xfId="660" xr:uid="{00000000-0005-0000-0000-00001B180000}"/>
    <cellStyle name="Normal 12 4 3 2" xfId="661" xr:uid="{00000000-0005-0000-0000-00001C180000}"/>
    <cellStyle name="Normal 12 4 3 2 2" xfId="662" xr:uid="{00000000-0005-0000-0000-00001D180000}"/>
    <cellStyle name="Normal 12 4 3 3" xfId="663" xr:uid="{00000000-0005-0000-0000-00001E180000}"/>
    <cellStyle name="Normal 12 4 4" xfId="664" xr:uid="{00000000-0005-0000-0000-00001F180000}"/>
    <cellStyle name="Normal 12 4 4 2" xfId="665" xr:uid="{00000000-0005-0000-0000-000020180000}"/>
    <cellStyle name="Normal 12 4 5" xfId="666" xr:uid="{00000000-0005-0000-0000-000021180000}"/>
    <cellStyle name="Normal 12 5" xfId="667" xr:uid="{00000000-0005-0000-0000-000022180000}"/>
    <cellStyle name="Normal 12 5 2" xfId="668" xr:uid="{00000000-0005-0000-0000-000023180000}"/>
    <cellStyle name="Normal 12 5 2 2" xfId="669" xr:uid="{00000000-0005-0000-0000-000024180000}"/>
    <cellStyle name="Normal 12 5 2 2 2" xfId="670" xr:uid="{00000000-0005-0000-0000-000025180000}"/>
    <cellStyle name="Normal 12 5 2 3" xfId="671" xr:uid="{00000000-0005-0000-0000-000026180000}"/>
    <cellStyle name="Normal 12 5 3" xfId="672" xr:uid="{00000000-0005-0000-0000-000027180000}"/>
    <cellStyle name="Normal 12 5 3 2" xfId="673" xr:uid="{00000000-0005-0000-0000-000028180000}"/>
    <cellStyle name="Normal 12 5 4" xfId="674" xr:uid="{00000000-0005-0000-0000-000029180000}"/>
    <cellStyle name="Normal 12 6" xfId="675" xr:uid="{00000000-0005-0000-0000-00002A180000}"/>
    <cellStyle name="Normal 12 6 2" xfId="676" xr:uid="{00000000-0005-0000-0000-00002B180000}"/>
    <cellStyle name="Normal 12 6 2 2" xfId="677" xr:uid="{00000000-0005-0000-0000-00002C180000}"/>
    <cellStyle name="Normal 12 6 3" xfId="678" xr:uid="{00000000-0005-0000-0000-00002D180000}"/>
    <cellStyle name="Normal 12 7" xfId="679" xr:uid="{00000000-0005-0000-0000-00002E180000}"/>
    <cellStyle name="Normal 12 7 2" xfId="680" xr:uid="{00000000-0005-0000-0000-00002F180000}"/>
    <cellStyle name="Normal 12 8" xfId="681" xr:uid="{00000000-0005-0000-0000-000030180000}"/>
    <cellStyle name="Normal 12_COST OF SERVICE" xfId="8598" xr:uid="{00000000-0005-0000-0000-000031180000}"/>
    <cellStyle name="Normal 120" xfId="8599" xr:uid="{00000000-0005-0000-0000-000032180000}"/>
    <cellStyle name="Normal 121" xfId="8600" xr:uid="{00000000-0005-0000-0000-000033180000}"/>
    <cellStyle name="Normal 122" xfId="8601" xr:uid="{00000000-0005-0000-0000-000034180000}"/>
    <cellStyle name="Normal 123" xfId="8602" xr:uid="{00000000-0005-0000-0000-000035180000}"/>
    <cellStyle name="Normal 124" xfId="8603" xr:uid="{00000000-0005-0000-0000-000036180000}"/>
    <cellStyle name="Normal 125" xfId="8604" xr:uid="{00000000-0005-0000-0000-000037180000}"/>
    <cellStyle name="Normal 126" xfId="8605" xr:uid="{00000000-0005-0000-0000-000038180000}"/>
    <cellStyle name="Normal 127" xfId="8606" xr:uid="{00000000-0005-0000-0000-000039180000}"/>
    <cellStyle name="Normal 128" xfId="8607" xr:uid="{00000000-0005-0000-0000-00003A180000}"/>
    <cellStyle name="Normal 129" xfId="8608" xr:uid="{00000000-0005-0000-0000-00003B180000}"/>
    <cellStyle name="Normal 13" xfId="682" xr:uid="{00000000-0005-0000-0000-00003C180000}"/>
    <cellStyle name="Normal 13 10" xfId="8609" xr:uid="{00000000-0005-0000-0000-00003D180000}"/>
    <cellStyle name="Normal 13 10 2" xfId="8610" xr:uid="{00000000-0005-0000-0000-00003E180000}"/>
    <cellStyle name="Normal 13 11" xfId="8611" xr:uid="{00000000-0005-0000-0000-00003F180000}"/>
    <cellStyle name="Normal 13 12" xfId="8612" xr:uid="{00000000-0005-0000-0000-000040180000}"/>
    <cellStyle name="Normal 13 13" xfId="8613" xr:uid="{00000000-0005-0000-0000-000041180000}"/>
    <cellStyle name="Normal 13 14" xfId="8614" xr:uid="{00000000-0005-0000-0000-000042180000}"/>
    <cellStyle name="Normal 13 15" xfId="8615" xr:uid="{00000000-0005-0000-0000-000043180000}"/>
    <cellStyle name="Normal 13 16" xfId="8616" xr:uid="{00000000-0005-0000-0000-000044180000}"/>
    <cellStyle name="Normal 13 2" xfId="8617" xr:uid="{00000000-0005-0000-0000-000045180000}"/>
    <cellStyle name="Normal 13 2 10" xfId="8618" xr:uid="{00000000-0005-0000-0000-000046180000}"/>
    <cellStyle name="Normal 13 2 11" xfId="8619" xr:uid="{00000000-0005-0000-0000-000047180000}"/>
    <cellStyle name="Normal 13 2 12" xfId="8620" xr:uid="{00000000-0005-0000-0000-000048180000}"/>
    <cellStyle name="Normal 13 2 13" xfId="8621" xr:uid="{00000000-0005-0000-0000-000049180000}"/>
    <cellStyle name="Normal 13 2 14" xfId="8622" xr:uid="{00000000-0005-0000-0000-00004A180000}"/>
    <cellStyle name="Normal 13 2 15" xfId="8623" xr:uid="{00000000-0005-0000-0000-00004B180000}"/>
    <cellStyle name="Normal 13 2 2" xfId="8624" xr:uid="{00000000-0005-0000-0000-00004C180000}"/>
    <cellStyle name="Normal 13 2 2 10" xfId="8625" xr:uid="{00000000-0005-0000-0000-00004D180000}"/>
    <cellStyle name="Normal 13 2 2 11" xfId="8626" xr:uid="{00000000-0005-0000-0000-00004E180000}"/>
    <cellStyle name="Normal 13 2 2 12" xfId="8627" xr:uid="{00000000-0005-0000-0000-00004F180000}"/>
    <cellStyle name="Normal 13 2 2 13" xfId="8628" xr:uid="{00000000-0005-0000-0000-000050180000}"/>
    <cellStyle name="Normal 13 2 2 14" xfId="8629" xr:uid="{00000000-0005-0000-0000-000051180000}"/>
    <cellStyle name="Normal 13 2 2 2" xfId="8630" xr:uid="{00000000-0005-0000-0000-000052180000}"/>
    <cellStyle name="Normal 13 2 2 2 10" xfId="8631" xr:uid="{00000000-0005-0000-0000-000053180000}"/>
    <cellStyle name="Normal 13 2 2 2 11" xfId="8632" xr:uid="{00000000-0005-0000-0000-000054180000}"/>
    <cellStyle name="Normal 13 2 2 2 12" xfId="8633" xr:uid="{00000000-0005-0000-0000-000055180000}"/>
    <cellStyle name="Normal 13 2 2 2 13" xfId="8634" xr:uid="{00000000-0005-0000-0000-000056180000}"/>
    <cellStyle name="Normal 13 2 2 2 2" xfId="8635" xr:uid="{00000000-0005-0000-0000-000057180000}"/>
    <cellStyle name="Normal 13 2 2 2 2 10" xfId="8636" xr:uid="{00000000-0005-0000-0000-000058180000}"/>
    <cellStyle name="Normal 13 2 2 2 2 11" xfId="8637" xr:uid="{00000000-0005-0000-0000-000059180000}"/>
    <cellStyle name="Normal 13 2 2 2 2 12" xfId="8638" xr:uid="{00000000-0005-0000-0000-00005A180000}"/>
    <cellStyle name="Normal 13 2 2 2 2 2" xfId="8639" xr:uid="{00000000-0005-0000-0000-00005B180000}"/>
    <cellStyle name="Normal 13 2 2 2 2 2 2" xfId="8640" xr:uid="{00000000-0005-0000-0000-00005C180000}"/>
    <cellStyle name="Normal 13 2 2 2 2 2 2 2" xfId="8641" xr:uid="{00000000-0005-0000-0000-00005D180000}"/>
    <cellStyle name="Normal 13 2 2 2 2 2 2 3" xfId="8642" xr:uid="{00000000-0005-0000-0000-00005E180000}"/>
    <cellStyle name="Normal 13 2 2 2 2 2 3" xfId="8643" xr:uid="{00000000-0005-0000-0000-00005F180000}"/>
    <cellStyle name="Normal 13 2 2 2 2 2 3 2" xfId="8644" xr:uid="{00000000-0005-0000-0000-000060180000}"/>
    <cellStyle name="Normal 13 2 2 2 2 2 4" xfId="8645" xr:uid="{00000000-0005-0000-0000-000061180000}"/>
    <cellStyle name="Normal 13 2 2 2 2 2 5" xfId="8646" xr:uid="{00000000-0005-0000-0000-000062180000}"/>
    <cellStyle name="Normal 13 2 2 2 2 2 6" xfId="8647" xr:uid="{00000000-0005-0000-0000-000063180000}"/>
    <cellStyle name="Normal 13 2 2 2 2 2 7" xfId="8648" xr:uid="{00000000-0005-0000-0000-000064180000}"/>
    <cellStyle name="Normal 13 2 2 2 2 2 8" xfId="8649" xr:uid="{00000000-0005-0000-0000-000065180000}"/>
    <cellStyle name="Normal 13 2 2 2 2 3" xfId="8650" xr:uid="{00000000-0005-0000-0000-000066180000}"/>
    <cellStyle name="Normal 13 2 2 2 2 3 2" xfId="8651" xr:uid="{00000000-0005-0000-0000-000067180000}"/>
    <cellStyle name="Normal 13 2 2 2 2 3 2 2" xfId="8652" xr:uid="{00000000-0005-0000-0000-000068180000}"/>
    <cellStyle name="Normal 13 2 2 2 2 3 3" xfId="8653" xr:uid="{00000000-0005-0000-0000-000069180000}"/>
    <cellStyle name="Normal 13 2 2 2 2 3 4" xfId="8654" xr:uid="{00000000-0005-0000-0000-00006A180000}"/>
    <cellStyle name="Normal 13 2 2 2 2 4" xfId="8655" xr:uid="{00000000-0005-0000-0000-00006B180000}"/>
    <cellStyle name="Normal 13 2 2 2 2 4 2" xfId="8656" xr:uid="{00000000-0005-0000-0000-00006C180000}"/>
    <cellStyle name="Normal 13 2 2 2 2 5" xfId="8657" xr:uid="{00000000-0005-0000-0000-00006D180000}"/>
    <cellStyle name="Normal 13 2 2 2 2 5 2" xfId="8658" xr:uid="{00000000-0005-0000-0000-00006E180000}"/>
    <cellStyle name="Normal 13 2 2 2 2 6" xfId="8659" xr:uid="{00000000-0005-0000-0000-00006F180000}"/>
    <cellStyle name="Normal 13 2 2 2 2 6 2" xfId="8660" xr:uid="{00000000-0005-0000-0000-000070180000}"/>
    <cellStyle name="Normal 13 2 2 2 2 7" xfId="8661" xr:uid="{00000000-0005-0000-0000-000071180000}"/>
    <cellStyle name="Normal 13 2 2 2 2 8" xfId="8662" xr:uid="{00000000-0005-0000-0000-000072180000}"/>
    <cellStyle name="Normal 13 2 2 2 2 9" xfId="8663" xr:uid="{00000000-0005-0000-0000-000073180000}"/>
    <cellStyle name="Normal 13 2 2 2 3" xfId="8664" xr:uid="{00000000-0005-0000-0000-000074180000}"/>
    <cellStyle name="Normal 13 2 2 2 3 2" xfId="8665" xr:uid="{00000000-0005-0000-0000-000075180000}"/>
    <cellStyle name="Normal 13 2 2 2 3 2 2" xfId="8666" xr:uid="{00000000-0005-0000-0000-000076180000}"/>
    <cellStyle name="Normal 13 2 2 2 3 2 3" xfId="8667" xr:uid="{00000000-0005-0000-0000-000077180000}"/>
    <cellStyle name="Normal 13 2 2 2 3 3" xfId="8668" xr:uid="{00000000-0005-0000-0000-000078180000}"/>
    <cellStyle name="Normal 13 2 2 2 3 3 2" xfId="8669" xr:uid="{00000000-0005-0000-0000-000079180000}"/>
    <cellStyle name="Normal 13 2 2 2 3 4" xfId="8670" xr:uid="{00000000-0005-0000-0000-00007A180000}"/>
    <cellStyle name="Normal 13 2 2 2 3 5" xfId="8671" xr:uid="{00000000-0005-0000-0000-00007B180000}"/>
    <cellStyle name="Normal 13 2 2 2 3 6" xfId="8672" xr:uid="{00000000-0005-0000-0000-00007C180000}"/>
    <cellStyle name="Normal 13 2 2 2 3 7" xfId="8673" xr:uid="{00000000-0005-0000-0000-00007D180000}"/>
    <cellStyle name="Normal 13 2 2 2 3 8" xfId="8674" xr:uid="{00000000-0005-0000-0000-00007E180000}"/>
    <cellStyle name="Normal 13 2 2 2 4" xfId="8675" xr:uid="{00000000-0005-0000-0000-00007F180000}"/>
    <cellStyle name="Normal 13 2 2 2 4 2" xfId="8676" xr:uid="{00000000-0005-0000-0000-000080180000}"/>
    <cellStyle name="Normal 13 2 2 2 4 2 2" xfId="8677" xr:uid="{00000000-0005-0000-0000-000081180000}"/>
    <cellStyle name="Normal 13 2 2 2 4 3" xfId="8678" xr:uid="{00000000-0005-0000-0000-000082180000}"/>
    <cellStyle name="Normal 13 2 2 2 4 4" xfId="8679" xr:uid="{00000000-0005-0000-0000-000083180000}"/>
    <cellStyle name="Normal 13 2 2 2 5" xfId="8680" xr:uid="{00000000-0005-0000-0000-000084180000}"/>
    <cellStyle name="Normal 13 2 2 2 5 2" xfId="8681" xr:uid="{00000000-0005-0000-0000-000085180000}"/>
    <cellStyle name="Normal 13 2 2 2 6" xfId="8682" xr:uid="{00000000-0005-0000-0000-000086180000}"/>
    <cellStyle name="Normal 13 2 2 2 6 2" xfId="8683" xr:uid="{00000000-0005-0000-0000-000087180000}"/>
    <cellStyle name="Normal 13 2 2 2 7" xfId="8684" xr:uid="{00000000-0005-0000-0000-000088180000}"/>
    <cellStyle name="Normal 13 2 2 2 7 2" xfId="8685" xr:uid="{00000000-0005-0000-0000-000089180000}"/>
    <cellStyle name="Normal 13 2 2 2 8" xfId="8686" xr:uid="{00000000-0005-0000-0000-00008A180000}"/>
    <cellStyle name="Normal 13 2 2 2 9" xfId="8687" xr:uid="{00000000-0005-0000-0000-00008B180000}"/>
    <cellStyle name="Normal 13 2 2 3" xfId="8688" xr:uid="{00000000-0005-0000-0000-00008C180000}"/>
    <cellStyle name="Normal 13 2 2 3 10" xfId="8689" xr:uid="{00000000-0005-0000-0000-00008D180000}"/>
    <cellStyle name="Normal 13 2 2 3 11" xfId="8690" xr:uid="{00000000-0005-0000-0000-00008E180000}"/>
    <cellStyle name="Normal 13 2 2 3 12" xfId="8691" xr:uid="{00000000-0005-0000-0000-00008F180000}"/>
    <cellStyle name="Normal 13 2 2 3 2" xfId="8692" xr:uid="{00000000-0005-0000-0000-000090180000}"/>
    <cellStyle name="Normal 13 2 2 3 2 2" xfId="8693" xr:uid="{00000000-0005-0000-0000-000091180000}"/>
    <cellStyle name="Normal 13 2 2 3 2 2 2" xfId="8694" xr:uid="{00000000-0005-0000-0000-000092180000}"/>
    <cellStyle name="Normal 13 2 2 3 2 2 3" xfId="8695" xr:uid="{00000000-0005-0000-0000-000093180000}"/>
    <cellStyle name="Normal 13 2 2 3 2 3" xfId="8696" xr:uid="{00000000-0005-0000-0000-000094180000}"/>
    <cellStyle name="Normal 13 2 2 3 2 3 2" xfId="8697" xr:uid="{00000000-0005-0000-0000-000095180000}"/>
    <cellStyle name="Normal 13 2 2 3 2 4" xfId="8698" xr:uid="{00000000-0005-0000-0000-000096180000}"/>
    <cellStyle name="Normal 13 2 2 3 2 5" xfId="8699" xr:uid="{00000000-0005-0000-0000-000097180000}"/>
    <cellStyle name="Normal 13 2 2 3 2 6" xfId="8700" xr:uid="{00000000-0005-0000-0000-000098180000}"/>
    <cellStyle name="Normal 13 2 2 3 2 7" xfId="8701" xr:uid="{00000000-0005-0000-0000-000099180000}"/>
    <cellStyle name="Normal 13 2 2 3 2 8" xfId="8702" xr:uid="{00000000-0005-0000-0000-00009A180000}"/>
    <cellStyle name="Normal 13 2 2 3 3" xfId="8703" xr:uid="{00000000-0005-0000-0000-00009B180000}"/>
    <cellStyle name="Normal 13 2 2 3 3 2" xfId="8704" xr:uid="{00000000-0005-0000-0000-00009C180000}"/>
    <cellStyle name="Normal 13 2 2 3 3 2 2" xfId="8705" xr:uid="{00000000-0005-0000-0000-00009D180000}"/>
    <cellStyle name="Normal 13 2 2 3 3 3" xfId="8706" xr:uid="{00000000-0005-0000-0000-00009E180000}"/>
    <cellStyle name="Normal 13 2 2 3 3 4" xfId="8707" xr:uid="{00000000-0005-0000-0000-00009F180000}"/>
    <cellStyle name="Normal 13 2 2 3 4" xfId="8708" xr:uid="{00000000-0005-0000-0000-0000A0180000}"/>
    <cellStyle name="Normal 13 2 2 3 4 2" xfId="8709" xr:uid="{00000000-0005-0000-0000-0000A1180000}"/>
    <cellStyle name="Normal 13 2 2 3 5" xfId="8710" xr:uid="{00000000-0005-0000-0000-0000A2180000}"/>
    <cellStyle name="Normal 13 2 2 3 5 2" xfId="8711" xr:uid="{00000000-0005-0000-0000-0000A3180000}"/>
    <cellStyle name="Normal 13 2 2 3 6" xfId="8712" xr:uid="{00000000-0005-0000-0000-0000A4180000}"/>
    <cellStyle name="Normal 13 2 2 3 6 2" xfId="8713" xr:uid="{00000000-0005-0000-0000-0000A5180000}"/>
    <cellStyle name="Normal 13 2 2 3 7" xfId="8714" xr:uid="{00000000-0005-0000-0000-0000A6180000}"/>
    <cellStyle name="Normal 13 2 2 3 8" xfId="8715" xr:uid="{00000000-0005-0000-0000-0000A7180000}"/>
    <cellStyle name="Normal 13 2 2 3 9" xfId="8716" xr:uid="{00000000-0005-0000-0000-0000A8180000}"/>
    <cellStyle name="Normal 13 2 2 4" xfId="8717" xr:uid="{00000000-0005-0000-0000-0000A9180000}"/>
    <cellStyle name="Normal 13 2 2 4 2" xfId="8718" xr:uid="{00000000-0005-0000-0000-0000AA180000}"/>
    <cellStyle name="Normal 13 2 2 4 2 2" xfId="8719" xr:uid="{00000000-0005-0000-0000-0000AB180000}"/>
    <cellStyle name="Normal 13 2 2 4 2 3" xfId="8720" xr:uid="{00000000-0005-0000-0000-0000AC180000}"/>
    <cellStyle name="Normal 13 2 2 4 3" xfId="8721" xr:uid="{00000000-0005-0000-0000-0000AD180000}"/>
    <cellStyle name="Normal 13 2 2 4 3 2" xfId="8722" xr:uid="{00000000-0005-0000-0000-0000AE180000}"/>
    <cellStyle name="Normal 13 2 2 4 4" xfId="8723" xr:uid="{00000000-0005-0000-0000-0000AF180000}"/>
    <cellStyle name="Normal 13 2 2 4 5" xfId="8724" xr:uid="{00000000-0005-0000-0000-0000B0180000}"/>
    <cellStyle name="Normal 13 2 2 4 6" xfId="8725" xr:uid="{00000000-0005-0000-0000-0000B1180000}"/>
    <cellStyle name="Normal 13 2 2 4 7" xfId="8726" xr:uid="{00000000-0005-0000-0000-0000B2180000}"/>
    <cellStyle name="Normal 13 2 2 4 8" xfId="8727" xr:uid="{00000000-0005-0000-0000-0000B3180000}"/>
    <cellStyle name="Normal 13 2 2 4 9" xfId="8728" xr:uid="{00000000-0005-0000-0000-0000B4180000}"/>
    <cellStyle name="Normal 13 2 2 5" xfId="8729" xr:uid="{00000000-0005-0000-0000-0000B5180000}"/>
    <cellStyle name="Normal 13 2 2 5 2" xfId="8730" xr:uid="{00000000-0005-0000-0000-0000B6180000}"/>
    <cellStyle name="Normal 13 2 2 5 2 2" xfId="8731" xr:uid="{00000000-0005-0000-0000-0000B7180000}"/>
    <cellStyle name="Normal 13 2 2 5 3" xfId="8732" xr:uid="{00000000-0005-0000-0000-0000B8180000}"/>
    <cellStyle name="Normal 13 2 2 5 4" xfId="8733" xr:uid="{00000000-0005-0000-0000-0000B9180000}"/>
    <cellStyle name="Normal 13 2 2 6" xfId="8734" xr:uid="{00000000-0005-0000-0000-0000BA180000}"/>
    <cellStyle name="Normal 13 2 2 6 2" xfId="8735" xr:uid="{00000000-0005-0000-0000-0000BB180000}"/>
    <cellStyle name="Normal 13 2 2 7" xfId="8736" xr:uid="{00000000-0005-0000-0000-0000BC180000}"/>
    <cellStyle name="Normal 13 2 2 7 2" xfId="8737" xr:uid="{00000000-0005-0000-0000-0000BD180000}"/>
    <cellStyle name="Normal 13 2 2 8" xfId="8738" xr:uid="{00000000-0005-0000-0000-0000BE180000}"/>
    <cellStyle name="Normal 13 2 2 8 2" xfId="8739" xr:uid="{00000000-0005-0000-0000-0000BF180000}"/>
    <cellStyle name="Normal 13 2 2 9" xfId="8740" xr:uid="{00000000-0005-0000-0000-0000C0180000}"/>
    <cellStyle name="Normal 13 2 3" xfId="8741" xr:uid="{00000000-0005-0000-0000-0000C1180000}"/>
    <cellStyle name="Normal 13 2 3 10" xfId="8742" xr:uid="{00000000-0005-0000-0000-0000C2180000}"/>
    <cellStyle name="Normal 13 2 3 11" xfId="8743" xr:uid="{00000000-0005-0000-0000-0000C3180000}"/>
    <cellStyle name="Normal 13 2 3 12" xfId="8744" xr:uid="{00000000-0005-0000-0000-0000C4180000}"/>
    <cellStyle name="Normal 13 2 3 13" xfId="8745" xr:uid="{00000000-0005-0000-0000-0000C5180000}"/>
    <cellStyle name="Normal 13 2 3 2" xfId="8746" xr:uid="{00000000-0005-0000-0000-0000C6180000}"/>
    <cellStyle name="Normal 13 2 3 2 10" xfId="8747" xr:uid="{00000000-0005-0000-0000-0000C7180000}"/>
    <cellStyle name="Normal 13 2 3 2 11" xfId="8748" xr:uid="{00000000-0005-0000-0000-0000C8180000}"/>
    <cellStyle name="Normal 13 2 3 2 12" xfId="8749" xr:uid="{00000000-0005-0000-0000-0000C9180000}"/>
    <cellStyle name="Normal 13 2 3 2 2" xfId="8750" xr:uid="{00000000-0005-0000-0000-0000CA180000}"/>
    <cellStyle name="Normal 13 2 3 2 2 2" xfId="8751" xr:uid="{00000000-0005-0000-0000-0000CB180000}"/>
    <cellStyle name="Normal 13 2 3 2 2 2 2" xfId="8752" xr:uid="{00000000-0005-0000-0000-0000CC180000}"/>
    <cellStyle name="Normal 13 2 3 2 2 2 3" xfId="8753" xr:uid="{00000000-0005-0000-0000-0000CD180000}"/>
    <cellStyle name="Normal 13 2 3 2 2 3" xfId="8754" xr:uid="{00000000-0005-0000-0000-0000CE180000}"/>
    <cellStyle name="Normal 13 2 3 2 2 3 2" xfId="8755" xr:uid="{00000000-0005-0000-0000-0000CF180000}"/>
    <cellStyle name="Normal 13 2 3 2 2 4" xfId="8756" xr:uid="{00000000-0005-0000-0000-0000D0180000}"/>
    <cellStyle name="Normal 13 2 3 2 2 5" xfId="8757" xr:uid="{00000000-0005-0000-0000-0000D1180000}"/>
    <cellStyle name="Normal 13 2 3 2 2 6" xfId="8758" xr:uid="{00000000-0005-0000-0000-0000D2180000}"/>
    <cellStyle name="Normal 13 2 3 2 2 7" xfId="8759" xr:uid="{00000000-0005-0000-0000-0000D3180000}"/>
    <cellStyle name="Normal 13 2 3 2 2 8" xfId="8760" xr:uid="{00000000-0005-0000-0000-0000D4180000}"/>
    <cellStyle name="Normal 13 2 3 2 3" xfId="8761" xr:uid="{00000000-0005-0000-0000-0000D5180000}"/>
    <cellStyle name="Normal 13 2 3 2 3 2" xfId="8762" xr:uid="{00000000-0005-0000-0000-0000D6180000}"/>
    <cellStyle name="Normal 13 2 3 2 3 2 2" xfId="8763" xr:uid="{00000000-0005-0000-0000-0000D7180000}"/>
    <cellStyle name="Normal 13 2 3 2 3 3" xfId="8764" xr:uid="{00000000-0005-0000-0000-0000D8180000}"/>
    <cellStyle name="Normal 13 2 3 2 3 4" xfId="8765" xr:uid="{00000000-0005-0000-0000-0000D9180000}"/>
    <cellStyle name="Normal 13 2 3 2 4" xfId="8766" xr:uid="{00000000-0005-0000-0000-0000DA180000}"/>
    <cellStyle name="Normal 13 2 3 2 4 2" xfId="8767" xr:uid="{00000000-0005-0000-0000-0000DB180000}"/>
    <cellStyle name="Normal 13 2 3 2 5" xfId="8768" xr:uid="{00000000-0005-0000-0000-0000DC180000}"/>
    <cellStyle name="Normal 13 2 3 2 5 2" xfId="8769" xr:uid="{00000000-0005-0000-0000-0000DD180000}"/>
    <cellStyle name="Normal 13 2 3 2 6" xfId="8770" xr:uid="{00000000-0005-0000-0000-0000DE180000}"/>
    <cellStyle name="Normal 13 2 3 2 6 2" xfId="8771" xr:uid="{00000000-0005-0000-0000-0000DF180000}"/>
    <cellStyle name="Normal 13 2 3 2 7" xfId="8772" xr:uid="{00000000-0005-0000-0000-0000E0180000}"/>
    <cellStyle name="Normal 13 2 3 2 8" xfId="8773" xr:uid="{00000000-0005-0000-0000-0000E1180000}"/>
    <cellStyle name="Normal 13 2 3 2 9" xfId="8774" xr:uid="{00000000-0005-0000-0000-0000E2180000}"/>
    <cellStyle name="Normal 13 2 3 3" xfId="8775" xr:uid="{00000000-0005-0000-0000-0000E3180000}"/>
    <cellStyle name="Normal 13 2 3 3 2" xfId="8776" xr:uid="{00000000-0005-0000-0000-0000E4180000}"/>
    <cellStyle name="Normal 13 2 3 3 2 2" xfId="8777" xr:uid="{00000000-0005-0000-0000-0000E5180000}"/>
    <cellStyle name="Normal 13 2 3 3 2 3" xfId="8778" xr:uid="{00000000-0005-0000-0000-0000E6180000}"/>
    <cellStyle name="Normal 13 2 3 3 3" xfId="8779" xr:uid="{00000000-0005-0000-0000-0000E7180000}"/>
    <cellStyle name="Normal 13 2 3 3 3 2" xfId="8780" xr:uid="{00000000-0005-0000-0000-0000E8180000}"/>
    <cellStyle name="Normal 13 2 3 3 4" xfId="8781" xr:uid="{00000000-0005-0000-0000-0000E9180000}"/>
    <cellStyle name="Normal 13 2 3 3 5" xfId="8782" xr:uid="{00000000-0005-0000-0000-0000EA180000}"/>
    <cellStyle name="Normal 13 2 3 3 6" xfId="8783" xr:uid="{00000000-0005-0000-0000-0000EB180000}"/>
    <cellStyle name="Normal 13 2 3 3 7" xfId="8784" xr:uid="{00000000-0005-0000-0000-0000EC180000}"/>
    <cellStyle name="Normal 13 2 3 3 8" xfId="8785" xr:uid="{00000000-0005-0000-0000-0000ED180000}"/>
    <cellStyle name="Normal 13 2 3 4" xfId="8786" xr:uid="{00000000-0005-0000-0000-0000EE180000}"/>
    <cellStyle name="Normal 13 2 3 4 2" xfId="8787" xr:uid="{00000000-0005-0000-0000-0000EF180000}"/>
    <cellStyle name="Normal 13 2 3 4 2 2" xfId="8788" xr:uid="{00000000-0005-0000-0000-0000F0180000}"/>
    <cellStyle name="Normal 13 2 3 4 3" xfId="8789" xr:uid="{00000000-0005-0000-0000-0000F1180000}"/>
    <cellStyle name="Normal 13 2 3 4 4" xfId="8790" xr:uid="{00000000-0005-0000-0000-0000F2180000}"/>
    <cellStyle name="Normal 13 2 3 5" xfId="8791" xr:uid="{00000000-0005-0000-0000-0000F3180000}"/>
    <cellStyle name="Normal 13 2 3 5 2" xfId="8792" xr:uid="{00000000-0005-0000-0000-0000F4180000}"/>
    <cellStyle name="Normal 13 2 3 6" xfId="8793" xr:uid="{00000000-0005-0000-0000-0000F5180000}"/>
    <cellStyle name="Normal 13 2 3 6 2" xfId="8794" xr:uid="{00000000-0005-0000-0000-0000F6180000}"/>
    <cellStyle name="Normal 13 2 3 7" xfId="8795" xr:uid="{00000000-0005-0000-0000-0000F7180000}"/>
    <cellStyle name="Normal 13 2 3 7 2" xfId="8796" xr:uid="{00000000-0005-0000-0000-0000F8180000}"/>
    <cellStyle name="Normal 13 2 3 8" xfId="8797" xr:uid="{00000000-0005-0000-0000-0000F9180000}"/>
    <cellStyle name="Normal 13 2 3 9" xfId="8798" xr:uid="{00000000-0005-0000-0000-0000FA180000}"/>
    <cellStyle name="Normal 13 2 4" xfId="8799" xr:uid="{00000000-0005-0000-0000-0000FB180000}"/>
    <cellStyle name="Normal 13 2 4 10" xfId="8800" xr:uid="{00000000-0005-0000-0000-0000FC180000}"/>
    <cellStyle name="Normal 13 2 4 11" xfId="8801" xr:uid="{00000000-0005-0000-0000-0000FD180000}"/>
    <cellStyle name="Normal 13 2 4 12" xfId="8802" xr:uid="{00000000-0005-0000-0000-0000FE180000}"/>
    <cellStyle name="Normal 13 2 4 2" xfId="8803" xr:uid="{00000000-0005-0000-0000-0000FF180000}"/>
    <cellStyle name="Normal 13 2 4 2 2" xfId="8804" xr:uid="{00000000-0005-0000-0000-000000190000}"/>
    <cellStyle name="Normal 13 2 4 2 2 2" xfId="8805" xr:uid="{00000000-0005-0000-0000-000001190000}"/>
    <cellStyle name="Normal 13 2 4 2 2 3" xfId="8806" xr:uid="{00000000-0005-0000-0000-000002190000}"/>
    <cellStyle name="Normal 13 2 4 2 3" xfId="8807" xr:uid="{00000000-0005-0000-0000-000003190000}"/>
    <cellStyle name="Normal 13 2 4 2 3 2" xfId="8808" xr:uid="{00000000-0005-0000-0000-000004190000}"/>
    <cellStyle name="Normal 13 2 4 2 4" xfId="8809" xr:uid="{00000000-0005-0000-0000-000005190000}"/>
    <cellStyle name="Normal 13 2 4 2 5" xfId="8810" xr:uid="{00000000-0005-0000-0000-000006190000}"/>
    <cellStyle name="Normal 13 2 4 2 6" xfId="8811" xr:uid="{00000000-0005-0000-0000-000007190000}"/>
    <cellStyle name="Normal 13 2 4 2 7" xfId="8812" xr:uid="{00000000-0005-0000-0000-000008190000}"/>
    <cellStyle name="Normal 13 2 4 2 8" xfId="8813" xr:uid="{00000000-0005-0000-0000-000009190000}"/>
    <cellStyle name="Normal 13 2 4 3" xfId="8814" xr:uid="{00000000-0005-0000-0000-00000A190000}"/>
    <cellStyle name="Normal 13 2 4 3 2" xfId="8815" xr:uid="{00000000-0005-0000-0000-00000B190000}"/>
    <cellStyle name="Normal 13 2 4 3 2 2" xfId="8816" xr:uid="{00000000-0005-0000-0000-00000C190000}"/>
    <cellStyle name="Normal 13 2 4 3 3" xfId="8817" xr:uid="{00000000-0005-0000-0000-00000D190000}"/>
    <cellStyle name="Normal 13 2 4 3 4" xfId="8818" xr:uid="{00000000-0005-0000-0000-00000E190000}"/>
    <cellStyle name="Normal 13 2 4 4" xfId="8819" xr:uid="{00000000-0005-0000-0000-00000F190000}"/>
    <cellStyle name="Normal 13 2 4 4 2" xfId="8820" xr:uid="{00000000-0005-0000-0000-000010190000}"/>
    <cellStyle name="Normal 13 2 4 5" xfId="8821" xr:uid="{00000000-0005-0000-0000-000011190000}"/>
    <cellStyle name="Normal 13 2 4 5 2" xfId="8822" xr:uid="{00000000-0005-0000-0000-000012190000}"/>
    <cellStyle name="Normal 13 2 4 6" xfId="8823" xr:uid="{00000000-0005-0000-0000-000013190000}"/>
    <cellStyle name="Normal 13 2 4 6 2" xfId="8824" xr:uid="{00000000-0005-0000-0000-000014190000}"/>
    <cellStyle name="Normal 13 2 4 7" xfId="8825" xr:uid="{00000000-0005-0000-0000-000015190000}"/>
    <cellStyle name="Normal 13 2 4 8" xfId="8826" xr:uid="{00000000-0005-0000-0000-000016190000}"/>
    <cellStyle name="Normal 13 2 4 9" xfId="8827" xr:uid="{00000000-0005-0000-0000-000017190000}"/>
    <cellStyle name="Normal 13 2 5" xfId="8828" xr:uid="{00000000-0005-0000-0000-000018190000}"/>
    <cellStyle name="Normal 13 2 5 2" xfId="8829" xr:uid="{00000000-0005-0000-0000-000019190000}"/>
    <cellStyle name="Normal 13 2 5 2 2" xfId="8830" xr:uid="{00000000-0005-0000-0000-00001A190000}"/>
    <cellStyle name="Normal 13 2 5 2 3" xfId="8831" xr:uid="{00000000-0005-0000-0000-00001B190000}"/>
    <cellStyle name="Normal 13 2 5 3" xfId="8832" xr:uid="{00000000-0005-0000-0000-00001C190000}"/>
    <cellStyle name="Normal 13 2 5 3 2" xfId="8833" xr:uid="{00000000-0005-0000-0000-00001D190000}"/>
    <cellStyle name="Normal 13 2 5 4" xfId="8834" xr:uid="{00000000-0005-0000-0000-00001E190000}"/>
    <cellStyle name="Normal 13 2 5 5" xfId="8835" xr:uid="{00000000-0005-0000-0000-00001F190000}"/>
    <cellStyle name="Normal 13 2 5 6" xfId="8836" xr:uid="{00000000-0005-0000-0000-000020190000}"/>
    <cellStyle name="Normal 13 2 5 7" xfId="8837" xr:uid="{00000000-0005-0000-0000-000021190000}"/>
    <cellStyle name="Normal 13 2 5 8" xfId="8838" xr:uid="{00000000-0005-0000-0000-000022190000}"/>
    <cellStyle name="Normal 13 2 6" xfId="8839" xr:uid="{00000000-0005-0000-0000-000023190000}"/>
    <cellStyle name="Normal 13 2 6 2" xfId="8840" xr:uid="{00000000-0005-0000-0000-000024190000}"/>
    <cellStyle name="Normal 13 2 6 2 2" xfId="8841" xr:uid="{00000000-0005-0000-0000-000025190000}"/>
    <cellStyle name="Normal 13 2 6 3" xfId="8842" xr:uid="{00000000-0005-0000-0000-000026190000}"/>
    <cellStyle name="Normal 13 2 6 4" xfId="8843" xr:uid="{00000000-0005-0000-0000-000027190000}"/>
    <cellStyle name="Normal 13 2 7" xfId="8844" xr:uid="{00000000-0005-0000-0000-000028190000}"/>
    <cellStyle name="Normal 13 2 7 2" xfId="8845" xr:uid="{00000000-0005-0000-0000-000029190000}"/>
    <cellStyle name="Normal 13 2 8" xfId="8846" xr:uid="{00000000-0005-0000-0000-00002A190000}"/>
    <cellStyle name="Normal 13 2 8 2" xfId="8847" xr:uid="{00000000-0005-0000-0000-00002B190000}"/>
    <cellStyle name="Normal 13 2 9" xfId="8848" xr:uid="{00000000-0005-0000-0000-00002C190000}"/>
    <cellStyle name="Normal 13 2 9 2" xfId="8849" xr:uid="{00000000-0005-0000-0000-00002D190000}"/>
    <cellStyle name="Normal 13 3" xfId="8850" xr:uid="{00000000-0005-0000-0000-00002E190000}"/>
    <cellStyle name="Normal 13 3 10" xfId="8851" xr:uid="{00000000-0005-0000-0000-00002F190000}"/>
    <cellStyle name="Normal 13 3 11" xfId="8852" xr:uid="{00000000-0005-0000-0000-000030190000}"/>
    <cellStyle name="Normal 13 3 12" xfId="8853" xr:uid="{00000000-0005-0000-0000-000031190000}"/>
    <cellStyle name="Normal 13 3 13" xfId="8854" xr:uid="{00000000-0005-0000-0000-000032190000}"/>
    <cellStyle name="Normal 13 3 14" xfId="8855" xr:uid="{00000000-0005-0000-0000-000033190000}"/>
    <cellStyle name="Normal 13 3 2" xfId="8856" xr:uid="{00000000-0005-0000-0000-000034190000}"/>
    <cellStyle name="Normal 13 3 2 10" xfId="8857" xr:uid="{00000000-0005-0000-0000-000035190000}"/>
    <cellStyle name="Normal 13 3 2 11" xfId="8858" xr:uid="{00000000-0005-0000-0000-000036190000}"/>
    <cellStyle name="Normal 13 3 2 12" xfId="8859" xr:uid="{00000000-0005-0000-0000-000037190000}"/>
    <cellStyle name="Normal 13 3 2 13" xfId="8860" xr:uid="{00000000-0005-0000-0000-000038190000}"/>
    <cellStyle name="Normal 13 3 2 2" xfId="8861" xr:uid="{00000000-0005-0000-0000-000039190000}"/>
    <cellStyle name="Normal 13 3 2 2 10" xfId="8862" xr:uid="{00000000-0005-0000-0000-00003A190000}"/>
    <cellStyle name="Normal 13 3 2 2 11" xfId="8863" xr:uid="{00000000-0005-0000-0000-00003B190000}"/>
    <cellStyle name="Normal 13 3 2 2 12" xfId="8864" xr:uid="{00000000-0005-0000-0000-00003C190000}"/>
    <cellStyle name="Normal 13 3 2 2 2" xfId="8865" xr:uid="{00000000-0005-0000-0000-00003D190000}"/>
    <cellStyle name="Normal 13 3 2 2 2 2" xfId="8866" xr:uid="{00000000-0005-0000-0000-00003E190000}"/>
    <cellStyle name="Normal 13 3 2 2 2 2 2" xfId="8867" xr:uid="{00000000-0005-0000-0000-00003F190000}"/>
    <cellStyle name="Normal 13 3 2 2 2 2 3" xfId="8868" xr:uid="{00000000-0005-0000-0000-000040190000}"/>
    <cellStyle name="Normal 13 3 2 2 2 3" xfId="8869" xr:uid="{00000000-0005-0000-0000-000041190000}"/>
    <cellStyle name="Normal 13 3 2 2 2 3 2" xfId="8870" xr:uid="{00000000-0005-0000-0000-000042190000}"/>
    <cellStyle name="Normal 13 3 2 2 2 4" xfId="8871" xr:uid="{00000000-0005-0000-0000-000043190000}"/>
    <cellStyle name="Normal 13 3 2 2 2 5" xfId="8872" xr:uid="{00000000-0005-0000-0000-000044190000}"/>
    <cellStyle name="Normal 13 3 2 2 2 6" xfId="8873" xr:uid="{00000000-0005-0000-0000-000045190000}"/>
    <cellStyle name="Normal 13 3 2 2 2 7" xfId="8874" xr:uid="{00000000-0005-0000-0000-000046190000}"/>
    <cellStyle name="Normal 13 3 2 2 2 8" xfId="8875" xr:uid="{00000000-0005-0000-0000-000047190000}"/>
    <cellStyle name="Normal 13 3 2 2 3" xfId="8876" xr:uid="{00000000-0005-0000-0000-000048190000}"/>
    <cellStyle name="Normal 13 3 2 2 3 2" xfId="8877" xr:uid="{00000000-0005-0000-0000-000049190000}"/>
    <cellStyle name="Normal 13 3 2 2 3 2 2" xfId="8878" xr:uid="{00000000-0005-0000-0000-00004A190000}"/>
    <cellStyle name="Normal 13 3 2 2 3 3" xfId="8879" xr:uid="{00000000-0005-0000-0000-00004B190000}"/>
    <cellStyle name="Normal 13 3 2 2 3 4" xfId="8880" xr:uid="{00000000-0005-0000-0000-00004C190000}"/>
    <cellStyle name="Normal 13 3 2 2 4" xfId="8881" xr:uid="{00000000-0005-0000-0000-00004D190000}"/>
    <cellStyle name="Normal 13 3 2 2 4 2" xfId="8882" xr:uid="{00000000-0005-0000-0000-00004E190000}"/>
    <cellStyle name="Normal 13 3 2 2 5" xfId="8883" xr:uid="{00000000-0005-0000-0000-00004F190000}"/>
    <cellStyle name="Normal 13 3 2 2 5 2" xfId="8884" xr:uid="{00000000-0005-0000-0000-000050190000}"/>
    <cellStyle name="Normal 13 3 2 2 6" xfId="8885" xr:uid="{00000000-0005-0000-0000-000051190000}"/>
    <cellStyle name="Normal 13 3 2 2 6 2" xfId="8886" xr:uid="{00000000-0005-0000-0000-000052190000}"/>
    <cellStyle name="Normal 13 3 2 2 7" xfId="8887" xr:uid="{00000000-0005-0000-0000-000053190000}"/>
    <cellStyle name="Normal 13 3 2 2 8" xfId="8888" xr:uid="{00000000-0005-0000-0000-000054190000}"/>
    <cellStyle name="Normal 13 3 2 2 9" xfId="8889" xr:uid="{00000000-0005-0000-0000-000055190000}"/>
    <cellStyle name="Normal 13 3 2 3" xfId="8890" xr:uid="{00000000-0005-0000-0000-000056190000}"/>
    <cellStyle name="Normal 13 3 2 3 2" xfId="8891" xr:uid="{00000000-0005-0000-0000-000057190000}"/>
    <cellStyle name="Normal 13 3 2 3 2 2" xfId="8892" xr:uid="{00000000-0005-0000-0000-000058190000}"/>
    <cellStyle name="Normal 13 3 2 3 2 3" xfId="8893" xr:uid="{00000000-0005-0000-0000-000059190000}"/>
    <cellStyle name="Normal 13 3 2 3 3" xfId="8894" xr:uid="{00000000-0005-0000-0000-00005A190000}"/>
    <cellStyle name="Normal 13 3 2 3 3 2" xfId="8895" xr:uid="{00000000-0005-0000-0000-00005B190000}"/>
    <cellStyle name="Normal 13 3 2 3 4" xfId="8896" xr:uid="{00000000-0005-0000-0000-00005C190000}"/>
    <cellStyle name="Normal 13 3 2 3 5" xfId="8897" xr:uid="{00000000-0005-0000-0000-00005D190000}"/>
    <cellStyle name="Normal 13 3 2 3 6" xfId="8898" xr:uid="{00000000-0005-0000-0000-00005E190000}"/>
    <cellStyle name="Normal 13 3 2 3 7" xfId="8899" xr:uid="{00000000-0005-0000-0000-00005F190000}"/>
    <cellStyle name="Normal 13 3 2 3 8" xfId="8900" xr:uid="{00000000-0005-0000-0000-000060190000}"/>
    <cellStyle name="Normal 13 3 2 3 9" xfId="8901" xr:uid="{00000000-0005-0000-0000-000061190000}"/>
    <cellStyle name="Normal 13 3 2 4" xfId="8902" xr:uid="{00000000-0005-0000-0000-000062190000}"/>
    <cellStyle name="Normal 13 3 2 4 2" xfId="8903" xr:uid="{00000000-0005-0000-0000-000063190000}"/>
    <cellStyle name="Normal 13 3 2 4 2 2" xfId="8904" xr:uid="{00000000-0005-0000-0000-000064190000}"/>
    <cellStyle name="Normal 13 3 2 4 3" xfId="8905" xr:uid="{00000000-0005-0000-0000-000065190000}"/>
    <cellStyle name="Normal 13 3 2 4 4" xfId="8906" xr:uid="{00000000-0005-0000-0000-000066190000}"/>
    <cellStyle name="Normal 13 3 2 5" xfId="8907" xr:uid="{00000000-0005-0000-0000-000067190000}"/>
    <cellStyle name="Normal 13 3 2 5 2" xfId="8908" xr:uid="{00000000-0005-0000-0000-000068190000}"/>
    <cellStyle name="Normal 13 3 2 6" xfId="8909" xr:uid="{00000000-0005-0000-0000-000069190000}"/>
    <cellStyle name="Normal 13 3 2 6 2" xfId="8910" xr:uid="{00000000-0005-0000-0000-00006A190000}"/>
    <cellStyle name="Normal 13 3 2 7" xfId="8911" xr:uid="{00000000-0005-0000-0000-00006B190000}"/>
    <cellStyle name="Normal 13 3 2 7 2" xfId="8912" xr:uid="{00000000-0005-0000-0000-00006C190000}"/>
    <cellStyle name="Normal 13 3 2 8" xfId="8913" xr:uid="{00000000-0005-0000-0000-00006D190000}"/>
    <cellStyle name="Normal 13 3 2 9" xfId="8914" xr:uid="{00000000-0005-0000-0000-00006E190000}"/>
    <cellStyle name="Normal 13 3 3" xfId="8915" xr:uid="{00000000-0005-0000-0000-00006F190000}"/>
    <cellStyle name="Normal 13 3 3 10" xfId="8916" xr:uid="{00000000-0005-0000-0000-000070190000}"/>
    <cellStyle name="Normal 13 3 3 11" xfId="8917" xr:uid="{00000000-0005-0000-0000-000071190000}"/>
    <cellStyle name="Normal 13 3 3 12" xfId="8918" xr:uid="{00000000-0005-0000-0000-000072190000}"/>
    <cellStyle name="Normal 13 3 3 2" xfId="8919" xr:uid="{00000000-0005-0000-0000-000073190000}"/>
    <cellStyle name="Normal 13 3 3 2 2" xfId="8920" xr:uid="{00000000-0005-0000-0000-000074190000}"/>
    <cellStyle name="Normal 13 3 3 2 2 2" xfId="8921" xr:uid="{00000000-0005-0000-0000-000075190000}"/>
    <cellStyle name="Normal 13 3 3 2 2 3" xfId="8922" xr:uid="{00000000-0005-0000-0000-000076190000}"/>
    <cellStyle name="Normal 13 3 3 2 3" xfId="8923" xr:uid="{00000000-0005-0000-0000-000077190000}"/>
    <cellStyle name="Normal 13 3 3 2 3 2" xfId="8924" xr:uid="{00000000-0005-0000-0000-000078190000}"/>
    <cellStyle name="Normal 13 3 3 2 4" xfId="8925" xr:uid="{00000000-0005-0000-0000-000079190000}"/>
    <cellStyle name="Normal 13 3 3 2 5" xfId="8926" xr:uid="{00000000-0005-0000-0000-00007A190000}"/>
    <cellStyle name="Normal 13 3 3 2 6" xfId="8927" xr:uid="{00000000-0005-0000-0000-00007B190000}"/>
    <cellStyle name="Normal 13 3 3 2 7" xfId="8928" xr:uid="{00000000-0005-0000-0000-00007C190000}"/>
    <cellStyle name="Normal 13 3 3 2 8" xfId="8929" xr:uid="{00000000-0005-0000-0000-00007D190000}"/>
    <cellStyle name="Normal 13 3 3 3" xfId="8930" xr:uid="{00000000-0005-0000-0000-00007E190000}"/>
    <cellStyle name="Normal 13 3 3 3 2" xfId="8931" xr:uid="{00000000-0005-0000-0000-00007F190000}"/>
    <cellStyle name="Normal 13 3 3 3 2 2" xfId="8932" xr:uid="{00000000-0005-0000-0000-000080190000}"/>
    <cellStyle name="Normal 13 3 3 3 3" xfId="8933" xr:uid="{00000000-0005-0000-0000-000081190000}"/>
    <cellStyle name="Normal 13 3 3 3 4" xfId="8934" xr:uid="{00000000-0005-0000-0000-000082190000}"/>
    <cellStyle name="Normal 13 3 3 4" xfId="8935" xr:uid="{00000000-0005-0000-0000-000083190000}"/>
    <cellStyle name="Normal 13 3 3 4 2" xfId="8936" xr:uid="{00000000-0005-0000-0000-000084190000}"/>
    <cellStyle name="Normal 13 3 3 5" xfId="8937" xr:uid="{00000000-0005-0000-0000-000085190000}"/>
    <cellStyle name="Normal 13 3 3 5 2" xfId="8938" xr:uid="{00000000-0005-0000-0000-000086190000}"/>
    <cellStyle name="Normal 13 3 3 6" xfId="8939" xr:uid="{00000000-0005-0000-0000-000087190000}"/>
    <cellStyle name="Normal 13 3 3 6 2" xfId="8940" xr:uid="{00000000-0005-0000-0000-000088190000}"/>
    <cellStyle name="Normal 13 3 3 7" xfId="8941" xr:uid="{00000000-0005-0000-0000-000089190000}"/>
    <cellStyle name="Normal 13 3 3 8" xfId="8942" xr:uid="{00000000-0005-0000-0000-00008A190000}"/>
    <cellStyle name="Normal 13 3 3 9" xfId="8943" xr:uid="{00000000-0005-0000-0000-00008B190000}"/>
    <cellStyle name="Normal 13 3 4" xfId="8944" xr:uid="{00000000-0005-0000-0000-00008C190000}"/>
    <cellStyle name="Normal 13 3 4 2" xfId="8945" xr:uid="{00000000-0005-0000-0000-00008D190000}"/>
    <cellStyle name="Normal 13 3 4 2 2" xfId="8946" xr:uid="{00000000-0005-0000-0000-00008E190000}"/>
    <cellStyle name="Normal 13 3 4 2 3" xfId="8947" xr:uid="{00000000-0005-0000-0000-00008F190000}"/>
    <cellStyle name="Normal 13 3 4 3" xfId="8948" xr:uid="{00000000-0005-0000-0000-000090190000}"/>
    <cellStyle name="Normal 13 3 4 3 2" xfId="8949" xr:uid="{00000000-0005-0000-0000-000091190000}"/>
    <cellStyle name="Normal 13 3 4 4" xfId="8950" xr:uid="{00000000-0005-0000-0000-000092190000}"/>
    <cellStyle name="Normal 13 3 4 5" xfId="8951" xr:uid="{00000000-0005-0000-0000-000093190000}"/>
    <cellStyle name="Normal 13 3 4 6" xfId="8952" xr:uid="{00000000-0005-0000-0000-000094190000}"/>
    <cellStyle name="Normal 13 3 4 7" xfId="8953" xr:uid="{00000000-0005-0000-0000-000095190000}"/>
    <cellStyle name="Normal 13 3 4 8" xfId="8954" xr:uid="{00000000-0005-0000-0000-000096190000}"/>
    <cellStyle name="Normal 13 3 5" xfId="8955" xr:uid="{00000000-0005-0000-0000-000097190000}"/>
    <cellStyle name="Normal 13 3 5 2" xfId="8956" xr:uid="{00000000-0005-0000-0000-000098190000}"/>
    <cellStyle name="Normal 13 3 5 2 2" xfId="8957" xr:uid="{00000000-0005-0000-0000-000099190000}"/>
    <cellStyle name="Normal 13 3 5 3" xfId="8958" xr:uid="{00000000-0005-0000-0000-00009A190000}"/>
    <cellStyle name="Normal 13 3 5 4" xfId="8959" xr:uid="{00000000-0005-0000-0000-00009B190000}"/>
    <cellStyle name="Normal 13 3 6" xfId="8960" xr:uid="{00000000-0005-0000-0000-00009C190000}"/>
    <cellStyle name="Normal 13 3 6 2" xfId="8961" xr:uid="{00000000-0005-0000-0000-00009D190000}"/>
    <cellStyle name="Normal 13 3 7" xfId="8962" xr:uid="{00000000-0005-0000-0000-00009E190000}"/>
    <cellStyle name="Normal 13 3 7 2" xfId="8963" xr:uid="{00000000-0005-0000-0000-00009F190000}"/>
    <cellStyle name="Normal 13 3 8" xfId="8964" xr:uid="{00000000-0005-0000-0000-0000A0190000}"/>
    <cellStyle name="Normal 13 3 8 2" xfId="8965" xr:uid="{00000000-0005-0000-0000-0000A1190000}"/>
    <cellStyle name="Normal 13 3 9" xfId="8966" xr:uid="{00000000-0005-0000-0000-0000A2190000}"/>
    <cellStyle name="Normal 13 4" xfId="8967" xr:uid="{00000000-0005-0000-0000-0000A3190000}"/>
    <cellStyle name="Normal 13 4 10" xfId="8968" xr:uid="{00000000-0005-0000-0000-0000A4190000}"/>
    <cellStyle name="Normal 13 4 11" xfId="8969" xr:uid="{00000000-0005-0000-0000-0000A5190000}"/>
    <cellStyle name="Normal 13 4 12" xfId="8970" xr:uid="{00000000-0005-0000-0000-0000A6190000}"/>
    <cellStyle name="Normal 13 4 13" xfId="8971" xr:uid="{00000000-0005-0000-0000-0000A7190000}"/>
    <cellStyle name="Normal 13 4 2" xfId="8972" xr:uid="{00000000-0005-0000-0000-0000A8190000}"/>
    <cellStyle name="Normal 13 4 2 10" xfId="8973" xr:uid="{00000000-0005-0000-0000-0000A9190000}"/>
    <cellStyle name="Normal 13 4 2 11" xfId="8974" xr:uid="{00000000-0005-0000-0000-0000AA190000}"/>
    <cellStyle name="Normal 13 4 2 12" xfId="8975" xr:uid="{00000000-0005-0000-0000-0000AB190000}"/>
    <cellStyle name="Normal 13 4 2 2" xfId="8976" xr:uid="{00000000-0005-0000-0000-0000AC190000}"/>
    <cellStyle name="Normal 13 4 2 2 2" xfId="8977" xr:uid="{00000000-0005-0000-0000-0000AD190000}"/>
    <cellStyle name="Normal 13 4 2 2 2 2" xfId="8978" xr:uid="{00000000-0005-0000-0000-0000AE190000}"/>
    <cellStyle name="Normal 13 4 2 2 2 3" xfId="8979" xr:uid="{00000000-0005-0000-0000-0000AF190000}"/>
    <cellStyle name="Normal 13 4 2 2 3" xfId="8980" xr:uid="{00000000-0005-0000-0000-0000B0190000}"/>
    <cellStyle name="Normal 13 4 2 2 3 2" xfId="8981" xr:uid="{00000000-0005-0000-0000-0000B1190000}"/>
    <cellStyle name="Normal 13 4 2 2 4" xfId="8982" xr:uid="{00000000-0005-0000-0000-0000B2190000}"/>
    <cellStyle name="Normal 13 4 2 2 5" xfId="8983" xr:uid="{00000000-0005-0000-0000-0000B3190000}"/>
    <cellStyle name="Normal 13 4 2 2 6" xfId="8984" xr:uid="{00000000-0005-0000-0000-0000B4190000}"/>
    <cellStyle name="Normal 13 4 2 2 7" xfId="8985" xr:uid="{00000000-0005-0000-0000-0000B5190000}"/>
    <cellStyle name="Normal 13 4 2 2 8" xfId="8986" xr:uid="{00000000-0005-0000-0000-0000B6190000}"/>
    <cellStyle name="Normal 13 4 2 3" xfId="8987" xr:uid="{00000000-0005-0000-0000-0000B7190000}"/>
    <cellStyle name="Normal 13 4 2 3 2" xfId="8988" xr:uid="{00000000-0005-0000-0000-0000B8190000}"/>
    <cellStyle name="Normal 13 4 2 3 2 2" xfId="8989" xr:uid="{00000000-0005-0000-0000-0000B9190000}"/>
    <cellStyle name="Normal 13 4 2 3 3" xfId="8990" xr:uid="{00000000-0005-0000-0000-0000BA190000}"/>
    <cellStyle name="Normal 13 4 2 3 4" xfId="8991" xr:uid="{00000000-0005-0000-0000-0000BB190000}"/>
    <cellStyle name="Normal 13 4 2 4" xfId="8992" xr:uid="{00000000-0005-0000-0000-0000BC190000}"/>
    <cellStyle name="Normal 13 4 2 4 2" xfId="8993" xr:uid="{00000000-0005-0000-0000-0000BD190000}"/>
    <cellStyle name="Normal 13 4 2 5" xfId="8994" xr:uid="{00000000-0005-0000-0000-0000BE190000}"/>
    <cellStyle name="Normal 13 4 2 5 2" xfId="8995" xr:uid="{00000000-0005-0000-0000-0000BF190000}"/>
    <cellStyle name="Normal 13 4 2 6" xfId="8996" xr:uid="{00000000-0005-0000-0000-0000C0190000}"/>
    <cellStyle name="Normal 13 4 2 6 2" xfId="8997" xr:uid="{00000000-0005-0000-0000-0000C1190000}"/>
    <cellStyle name="Normal 13 4 2 7" xfId="8998" xr:uid="{00000000-0005-0000-0000-0000C2190000}"/>
    <cellStyle name="Normal 13 4 2 8" xfId="8999" xr:uid="{00000000-0005-0000-0000-0000C3190000}"/>
    <cellStyle name="Normal 13 4 2 9" xfId="9000" xr:uid="{00000000-0005-0000-0000-0000C4190000}"/>
    <cellStyle name="Normal 13 4 3" xfId="9001" xr:uid="{00000000-0005-0000-0000-0000C5190000}"/>
    <cellStyle name="Normal 13 4 3 2" xfId="9002" xr:uid="{00000000-0005-0000-0000-0000C6190000}"/>
    <cellStyle name="Normal 13 4 3 2 2" xfId="9003" xr:uid="{00000000-0005-0000-0000-0000C7190000}"/>
    <cellStyle name="Normal 13 4 3 2 3" xfId="9004" xr:uid="{00000000-0005-0000-0000-0000C8190000}"/>
    <cellStyle name="Normal 13 4 3 3" xfId="9005" xr:uid="{00000000-0005-0000-0000-0000C9190000}"/>
    <cellStyle name="Normal 13 4 3 3 2" xfId="9006" xr:uid="{00000000-0005-0000-0000-0000CA190000}"/>
    <cellStyle name="Normal 13 4 3 4" xfId="9007" xr:uid="{00000000-0005-0000-0000-0000CB190000}"/>
    <cellStyle name="Normal 13 4 3 5" xfId="9008" xr:uid="{00000000-0005-0000-0000-0000CC190000}"/>
    <cellStyle name="Normal 13 4 3 6" xfId="9009" xr:uid="{00000000-0005-0000-0000-0000CD190000}"/>
    <cellStyle name="Normal 13 4 3 7" xfId="9010" xr:uid="{00000000-0005-0000-0000-0000CE190000}"/>
    <cellStyle name="Normal 13 4 3 8" xfId="9011" xr:uid="{00000000-0005-0000-0000-0000CF190000}"/>
    <cellStyle name="Normal 13 4 4" xfId="9012" xr:uid="{00000000-0005-0000-0000-0000D0190000}"/>
    <cellStyle name="Normal 13 4 4 2" xfId="9013" xr:uid="{00000000-0005-0000-0000-0000D1190000}"/>
    <cellStyle name="Normal 13 4 4 2 2" xfId="9014" xr:uid="{00000000-0005-0000-0000-0000D2190000}"/>
    <cellStyle name="Normal 13 4 4 3" xfId="9015" xr:uid="{00000000-0005-0000-0000-0000D3190000}"/>
    <cellStyle name="Normal 13 4 4 4" xfId="9016" xr:uid="{00000000-0005-0000-0000-0000D4190000}"/>
    <cellStyle name="Normal 13 4 5" xfId="9017" xr:uid="{00000000-0005-0000-0000-0000D5190000}"/>
    <cellStyle name="Normal 13 4 5 2" xfId="9018" xr:uid="{00000000-0005-0000-0000-0000D6190000}"/>
    <cellStyle name="Normal 13 4 6" xfId="9019" xr:uid="{00000000-0005-0000-0000-0000D7190000}"/>
    <cellStyle name="Normal 13 4 6 2" xfId="9020" xr:uid="{00000000-0005-0000-0000-0000D8190000}"/>
    <cellStyle name="Normal 13 4 7" xfId="9021" xr:uid="{00000000-0005-0000-0000-0000D9190000}"/>
    <cellStyle name="Normal 13 4 7 2" xfId="9022" xr:uid="{00000000-0005-0000-0000-0000DA190000}"/>
    <cellStyle name="Normal 13 4 8" xfId="9023" xr:uid="{00000000-0005-0000-0000-0000DB190000}"/>
    <cellStyle name="Normal 13 4 9" xfId="9024" xr:uid="{00000000-0005-0000-0000-0000DC190000}"/>
    <cellStyle name="Normal 13 5" xfId="9025" xr:uid="{00000000-0005-0000-0000-0000DD190000}"/>
    <cellStyle name="Normal 13 5 10" xfId="9026" xr:uid="{00000000-0005-0000-0000-0000DE190000}"/>
    <cellStyle name="Normal 13 5 11" xfId="9027" xr:uid="{00000000-0005-0000-0000-0000DF190000}"/>
    <cellStyle name="Normal 13 5 12" xfId="9028" xr:uid="{00000000-0005-0000-0000-0000E0190000}"/>
    <cellStyle name="Normal 13 5 2" xfId="9029" xr:uid="{00000000-0005-0000-0000-0000E1190000}"/>
    <cellStyle name="Normal 13 5 2 2" xfId="9030" xr:uid="{00000000-0005-0000-0000-0000E2190000}"/>
    <cellStyle name="Normal 13 5 2 2 2" xfId="9031" xr:uid="{00000000-0005-0000-0000-0000E3190000}"/>
    <cellStyle name="Normal 13 5 2 2 3" xfId="9032" xr:uid="{00000000-0005-0000-0000-0000E4190000}"/>
    <cellStyle name="Normal 13 5 2 3" xfId="9033" xr:uid="{00000000-0005-0000-0000-0000E5190000}"/>
    <cellStyle name="Normal 13 5 2 3 2" xfId="9034" xr:uid="{00000000-0005-0000-0000-0000E6190000}"/>
    <cellStyle name="Normal 13 5 2 4" xfId="9035" xr:uid="{00000000-0005-0000-0000-0000E7190000}"/>
    <cellStyle name="Normal 13 5 2 5" xfId="9036" xr:uid="{00000000-0005-0000-0000-0000E8190000}"/>
    <cellStyle name="Normal 13 5 2 6" xfId="9037" xr:uid="{00000000-0005-0000-0000-0000E9190000}"/>
    <cellStyle name="Normal 13 5 2 7" xfId="9038" xr:uid="{00000000-0005-0000-0000-0000EA190000}"/>
    <cellStyle name="Normal 13 5 2 8" xfId="9039" xr:uid="{00000000-0005-0000-0000-0000EB190000}"/>
    <cellStyle name="Normal 13 5 3" xfId="9040" xr:uid="{00000000-0005-0000-0000-0000EC190000}"/>
    <cellStyle name="Normal 13 5 3 2" xfId="9041" xr:uid="{00000000-0005-0000-0000-0000ED190000}"/>
    <cellStyle name="Normal 13 5 3 2 2" xfId="9042" xr:uid="{00000000-0005-0000-0000-0000EE190000}"/>
    <cellStyle name="Normal 13 5 3 3" xfId="9043" xr:uid="{00000000-0005-0000-0000-0000EF190000}"/>
    <cellStyle name="Normal 13 5 3 4" xfId="9044" xr:uid="{00000000-0005-0000-0000-0000F0190000}"/>
    <cellStyle name="Normal 13 5 4" xfId="9045" xr:uid="{00000000-0005-0000-0000-0000F1190000}"/>
    <cellStyle name="Normal 13 5 4 2" xfId="9046" xr:uid="{00000000-0005-0000-0000-0000F2190000}"/>
    <cellStyle name="Normal 13 5 5" xfId="9047" xr:uid="{00000000-0005-0000-0000-0000F3190000}"/>
    <cellStyle name="Normal 13 5 5 2" xfId="9048" xr:uid="{00000000-0005-0000-0000-0000F4190000}"/>
    <cellStyle name="Normal 13 5 6" xfId="9049" xr:uid="{00000000-0005-0000-0000-0000F5190000}"/>
    <cellStyle name="Normal 13 5 6 2" xfId="9050" xr:uid="{00000000-0005-0000-0000-0000F6190000}"/>
    <cellStyle name="Normal 13 5 7" xfId="9051" xr:uid="{00000000-0005-0000-0000-0000F7190000}"/>
    <cellStyle name="Normal 13 5 8" xfId="9052" xr:uid="{00000000-0005-0000-0000-0000F8190000}"/>
    <cellStyle name="Normal 13 5 9" xfId="9053" xr:uid="{00000000-0005-0000-0000-0000F9190000}"/>
    <cellStyle name="Normal 13 6" xfId="9054" xr:uid="{00000000-0005-0000-0000-0000FA190000}"/>
    <cellStyle name="Normal 13 6 2" xfId="9055" xr:uid="{00000000-0005-0000-0000-0000FB190000}"/>
    <cellStyle name="Normal 13 6 2 2" xfId="9056" xr:uid="{00000000-0005-0000-0000-0000FC190000}"/>
    <cellStyle name="Normal 13 6 2 3" xfId="9057" xr:uid="{00000000-0005-0000-0000-0000FD190000}"/>
    <cellStyle name="Normal 13 6 3" xfId="9058" xr:uid="{00000000-0005-0000-0000-0000FE190000}"/>
    <cellStyle name="Normal 13 6 3 2" xfId="9059" xr:uid="{00000000-0005-0000-0000-0000FF190000}"/>
    <cellStyle name="Normal 13 6 4" xfId="9060" xr:uid="{00000000-0005-0000-0000-0000001A0000}"/>
    <cellStyle name="Normal 13 6 5" xfId="9061" xr:uid="{00000000-0005-0000-0000-0000011A0000}"/>
    <cellStyle name="Normal 13 6 6" xfId="9062" xr:uid="{00000000-0005-0000-0000-0000021A0000}"/>
    <cellStyle name="Normal 13 6 7" xfId="9063" xr:uid="{00000000-0005-0000-0000-0000031A0000}"/>
    <cellStyle name="Normal 13 6 8" xfId="9064" xr:uid="{00000000-0005-0000-0000-0000041A0000}"/>
    <cellStyle name="Normal 13 7" xfId="9065" xr:uid="{00000000-0005-0000-0000-0000051A0000}"/>
    <cellStyle name="Normal 13 7 2" xfId="9066" xr:uid="{00000000-0005-0000-0000-0000061A0000}"/>
    <cellStyle name="Normal 13 7 2 2" xfId="9067" xr:uid="{00000000-0005-0000-0000-0000071A0000}"/>
    <cellStyle name="Normal 13 7 3" xfId="9068" xr:uid="{00000000-0005-0000-0000-0000081A0000}"/>
    <cellStyle name="Normal 13 7 4" xfId="9069" xr:uid="{00000000-0005-0000-0000-0000091A0000}"/>
    <cellStyle name="Normal 13 8" xfId="9070" xr:uid="{00000000-0005-0000-0000-00000A1A0000}"/>
    <cellStyle name="Normal 13 8 2" xfId="9071" xr:uid="{00000000-0005-0000-0000-00000B1A0000}"/>
    <cellStyle name="Normal 13 9" xfId="9072" xr:uid="{00000000-0005-0000-0000-00000C1A0000}"/>
    <cellStyle name="Normal 13 9 2" xfId="9073" xr:uid="{00000000-0005-0000-0000-00000D1A0000}"/>
    <cellStyle name="Normal 130" xfId="9074" xr:uid="{00000000-0005-0000-0000-00000E1A0000}"/>
    <cellStyle name="Normal 131" xfId="9075" xr:uid="{00000000-0005-0000-0000-00000F1A0000}"/>
    <cellStyle name="Normal 132" xfId="9076" xr:uid="{00000000-0005-0000-0000-0000101A0000}"/>
    <cellStyle name="Normal 133" xfId="9077" xr:uid="{00000000-0005-0000-0000-0000111A0000}"/>
    <cellStyle name="Normal 134" xfId="9078" xr:uid="{00000000-0005-0000-0000-0000121A0000}"/>
    <cellStyle name="Normal 135" xfId="9079" xr:uid="{00000000-0005-0000-0000-0000131A0000}"/>
    <cellStyle name="Normal 136" xfId="9080" xr:uid="{00000000-0005-0000-0000-0000141A0000}"/>
    <cellStyle name="Normal 137" xfId="9081" xr:uid="{00000000-0005-0000-0000-0000151A0000}"/>
    <cellStyle name="Normal 138" xfId="9082" xr:uid="{00000000-0005-0000-0000-0000161A0000}"/>
    <cellStyle name="Normal 139" xfId="9083" xr:uid="{00000000-0005-0000-0000-0000171A0000}"/>
    <cellStyle name="Normal 14" xfId="683" xr:uid="{00000000-0005-0000-0000-0000181A0000}"/>
    <cellStyle name="Normal 14 10" xfId="9084" xr:uid="{00000000-0005-0000-0000-0000191A0000}"/>
    <cellStyle name="Normal 14 10 2" xfId="9085" xr:uid="{00000000-0005-0000-0000-00001A1A0000}"/>
    <cellStyle name="Normal 14 11" xfId="9086" xr:uid="{00000000-0005-0000-0000-00001B1A0000}"/>
    <cellStyle name="Normal 14 12" xfId="9087" xr:uid="{00000000-0005-0000-0000-00001C1A0000}"/>
    <cellStyle name="Normal 14 13" xfId="9088" xr:uid="{00000000-0005-0000-0000-00001D1A0000}"/>
    <cellStyle name="Normal 14 14" xfId="9089" xr:uid="{00000000-0005-0000-0000-00001E1A0000}"/>
    <cellStyle name="Normal 14 15" xfId="9090" xr:uid="{00000000-0005-0000-0000-00001F1A0000}"/>
    <cellStyle name="Normal 14 16" xfId="9091" xr:uid="{00000000-0005-0000-0000-0000201A0000}"/>
    <cellStyle name="Normal 14 2" xfId="684" xr:uid="{00000000-0005-0000-0000-0000211A0000}"/>
    <cellStyle name="Normal 14 2 2" xfId="685" xr:uid="{00000000-0005-0000-0000-0000221A0000}"/>
    <cellStyle name="Normal 14 2 2 2" xfId="686" xr:uid="{00000000-0005-0000-0000-0000231A0000}"/>
    <cellStyle name="Normal 14 2 2 2 2" xfId="687" xr:uid="{00000000-0005-0000-0000-0000241A0000}"/>
    <cellStyle name="Normal 14 2 2 2 2 2" xfId="688" xr:uid="{00000000-0005-0000-0000-0000251A0000}"/>
    <cellStyle name="Normal 14 2 2 2 2 2 2" xfId="689" xr:uid="{00000000-0005-0000-0000-0000261A0000}"/>
    <cellStyle name="Normal 14 2 2 2 2 2 2 2" xfId="690" xr:uid="{00000000-0005-0000-0000-0000271A0000}"/>
    <cellStyle name="Normal 14 2 2 2 2 2 3" xfId="691" xr:uid="{00000000-0005-0000-0000-0000281A0000}"/>
    <cellStyle name="Normal 14 2 2 2 2 3" xfId="692" xr:uid="{00000000-0005-0000-0000-0000291A0000}"/>
    <cellStyle name="Normal 14 2 2 2 2 3 2" xfId="693" xr:uid="{00000000-0005-0000-0000-00002A1A0000}"/>
    <cellStyle name="Normal 14 2 2 2 2 4" xfId="694" xr:uid="{00000000-0005-0000-0000-00002B1A0000}"/>
    <cellStyle name="Normal 14 2 2 2 3" xfId="695" xr:uid="{00000000-0005-0000-0000-00002C1A0000}"/>
    <cellStyle name="Normal 14 2 2 2 3 2" xfId="696" xr:uid="{00000000-0005-0000-0000-00002D1A0000}"/>
    <cellStyle name="Normal 14 2 2 2 3 2 2" xfId="697" xr:uid="{00000000-0005-0000-0000-00002E1A0000}"/>
    <cellStyle name="Normal 14 2 2 2 3 3" xfId="698" xr:uid="{00000000-0005-0000-0000-00002F1A0000}"/>
    <cellStyle name="Normal 14 2 2 2 4" xfId="699" xr:uid="{00000000-0005-0000-0000-0000301A0000}"/>
    <cellStyle name="Normal 14 2 2 2 4 2" xfId="700" xr:uid="{00000000-0005-0000-0000-0000311A0000}"/>
    <cellStyle name="Normal 14 2 2 2 5" xfId="701" xr:uid="{00000000-0005-0000-0000-0000321A0000}"/>
    <cellStyle name="Normal 14 2 2 3" xfId="702" xr:uid="{00000000-0005-0000-0000-0000331A0000}"/>
    <cellStyle name="Normal 14 2 2 3 2" xfId="703" xr:uid="{00000000-0005-0000-0000-0000341A0000}"/>
    <cellStyle name="Normal 14 2 2 3 2 2" xfId="704" xr:uid="{00000000-0005-0000-0000-0000351A0000}"/>
    <cellStyle name="Normal 14 2 2 3 2 2 2" xfId="705" xr:uid="{00000000-0005-0000-0000-0000361A0000}"/>
    <cellStyle name="Normal 14 2 2 3 2 3" xfId="706" xr:uid="{00000000-0005-0000-0000-0000371A0000}"/>
    <cellStyle name="Normal 14 2 2 3 3" xfId="707" xr:uid="{00000000-0005-0000-0000-0000381A0000}"/>
    <cellStyle name="Normal 14 2 2 3 3 2" xfId="708" xr:uid="{00000000-0005-0000-0000-0000391A0000}"/>
    <cellStyle name="Normal 14 2 2 3 4" xfId="709" xr:uid="{00000000-0005-0000-0000-00003A1A0000}"/>
    <cellStyle name="Normal 14 2 2 4" xfId="710" xr:uid="{00000000-0005-0000-0000-00003B1A0000}"/>
    <cellStyle name="Normal 14 2 2 4 2" xfId="711" xr:uid="{00000000-0005-0000-0000-00003C1A0000}"/>
    <cellStyle name="Normal 14 2 2 4 2 2" xfId="712" xr:uid="{00000000-0005-0000-0000-00003D1A0000}"/>
    <cellStyle name="Normal 14 2 2 4 3" xfId="713" xr:uid="{00000000-0005-0000-0000-00003E1A0000}"/>
    <cellStyle name="Normal 14 2 2 5" xfId="714" xr:uid="{00000000-0005-0000-0000-00003F1A0000}"/>
    <cellStyle name="Normal 14 2 2 5 2" xfId="715" xr:uid="{00000000-0005-0000-0000-0000401A0000}"/>
    <cellStyle name="Normal 14 2 2 6" xfId="716" xr:uid="{00000000-0005-0000-0000-0000411A0000}"/>
    <cellStyle name="Normal 14 2 3" xfId="717" xr:uid="{00000000-0005-0000-0000-0000421A0000}"/>
    <cellStyle name="Normal 14 2 3 2" xfId="718" xr:uid="{00000000-0005-0000-0000-0000431A0000}"/>
    <cellStyle name="Normal 14 2 3 2 2" xfId="719" xr:uid="{00000000-0005-0000-0000-0000441A0000}"/>
    <cellStyle name="Normal 14 2 3 2 2 2" xfId="720" xr:uid="{00000000-0005-0000-0000-0000451A0000}"/>
    <cellStyle name="Normal 14 2 3 2 2 2 2" xfId="721" xr:uid="{00000000-0005-0000-0000-0000461A0000}"/>
    <cellStyle name="Normal 14 2 3 2 2 3" xfId="722" xr:uid="{00000000-0005-0000-0000-0000471A0000}"/>
    <cellStyle name="Normal 14 2 3 2 3" xfId="723" xr:uid="{00000000-0005-0000-0000-0000481A0000}"/>
    <cellStyle name="Normal 14 2 3 2 3 2" xfId="724" xr:uid="{00000000-0005-0000-0000-0000491A0000}"/>
    <cellStyle name="Normal 14 2 3 2 4" xfId="725" xr:uid="{00000000-0005-0000-0000-00004A1A0000}"/>
    <cellStyle name="Normal 14 2 3 3" xfId="726" xr:uid="{00000000-0005-0000-0000-00004B1A0000}"/>
    <cellStyle name="Normal 14 2 3 3 2" xfId="727" xr:uid="{00000000-0005-0000-0000-00004C1A0000}"/>
    <cellStyle name="Normal 14 2 3 3 2 2" xfId="728" xr:uid="{00000000-0005-0000-0000-00004D1A0000}"/>
    <cellStyle name="Normal 14 2 3 3 3" xfId="729" xr:uid="{00000000-0005-0000-0000-00004E1A0000}"/>
    <cellStyle name="Normal 14 2 3 4" xfId="730" xr:uid="{00000000-0005-0000-0000-00004F1A0000}"/>
    <cellStyle name="Normal 14 2 3 4 2" xfId="731" xr:uid="{00000000-0005-0000-0000-0000501A0000}"/>
    <cellStyle name="Normal 14 2 3 5" xfId="732" xr:uid="{00000000-0005-0000-0000-0000511A0000}"/>
    <cellStyle name="Normal 14 2 4" xfId="733" xr:uid="{00000000-0005-0000-0000-0000521A0000}"/>
    <cellStyle name="Normal 14 2 4 2" xfId="734" xr:uid="{00000000-0005-0000-0000-0000531A0000}"/>
    <cellStyle name="Normal 14 2 4 2 2" xfId="735" xr:uid="{00000000-0005-0000-0000-0000541A0000}"/>
    <cellStyle name="Normal 14 2 4 2 2 2" xfId="736" xr:uid="{00000000-0005-0000-0000-0000551A0000}"/>
    <cellStyle name="Normal 14 2 4 2 3" xfId="737" xr:uid="{00000000-0005-0000-0000-0000561A0000}"/>
    <cellStyle name="Normal 14 2 4 3" xfId="738" xr:uid="{00000000-0005-0000-0000-0000571A0000}"/>
    <cellStyle name="Normal 14 2 4 3 2" xfId="739" xr:uid="{00000000-0005-0000-0000-0000581A0000}"/>
    <cellStyle name="Normal 14 2 4 4" xfId="740" xr:uid="{00000000-0005-0000-0000-0000591A0000}"/>
    <cellStyle name="Normal 14 2 5" xfId="741" xr:uid="{00000000-0005-0000-0000-00005A1A0000}"/>
    <cellStyle name="Normal 14 2 5 2" xfId="742" xr:uid="{00000000-0005-0000-0000-00005B1A0000}"/>
    <cellStyle name="Normal 14 2 5 2 2" xfId="743" xr:uid="{00000000-0005-0000-0000-00005C1A0000}"/>
    <cellStyle name="Normal 14 2 5 3" xfId="744" xr:uid="{00000000-0005-0000-0000-00005D1A0000}"/>
    <cellStyle name="Normal 14 2 6" xfId="745" xr:uid="{00000000-0005-0000-0000-00005E1A0000}"/>
    <cellStyle name="Normal 14 2 6 2" xfId="746" xr:uid="{00000000-0005-0000-0000-00005F1A0000}"/>
    <cellStyle name="Normal 14 2 7" xfId="747" xr:uid="{00000000-0005-0000-0000-0000601A0000}"/>
    <cellStyle name="Normal 14 3" xfId="748" xr:uid="{00000000-0005-0000-0000-0000611A0000}"/>
    <cellStyle name="Normal 14 3 10" xfId="9092" xr:uid="{00000000-0005-0000-0000-0000621A0000}"/>
    <cellStyle name="Normal 14 3 11" xfId="9093" xr:uid="{00000000-0005-0000-0000-0000631A0000}"/>
    <cellStyle name="Normal 14 3 12" xfId="9094" xr:uid="{00000000-0005-0000-0000-0000641A0000}"/>
    <cellStyle name="Normal 14 3 13" xfId="9095" xr:uid="{00000000-0005-0000-0000-0000651A0000}"/>
    <cellStyle name="Normal 14 3 14" xfId="9096" xr:uid="{00000000-0005-0000-0000-0000661A0000}"/>
    <cellStyle name="Normal 14 3 2" xfId="749" xr:uid="{00000000-0005-0000-0000-0000671A0000}"/>
    <cellStyle name="Normal 14 3 2 10" xfId="9097" xr:uid="{00000000-0005-0000-0000-0000681A0000}"/>
    <cellStyle name="Normal 14 3 2 11" xfId="9098" xr:uid="{00000000-0005-0000-0000-0000691A0000}"/>
    <cellStyle name="Normal 14 3 2 12" xfId="9099" xr:uid="{00000000-0005-0000-0000-00006A1A0000}"/>
    <cellStyle name="Normal 14 3 2 13" xfId="9100" xr:uid="{00000000-0005-0000-0000-00006B1A0000}"/>
    <cellStyle name="Normal 14 3 2 2" xfId="750" xr:uid="{00000000-0005-0000-0000-00006C1A0000}"/>
    <cellStyle name="Normal 14 3 2 2 10" xfId="9101" xr:uid="{00000000-0005-0000-0000-00006D1A0000}"/>
    <cellStyle name="Normal 14 3 2 2 11" xfId="9102" xr:uid="{00000000-0005-0000-0000-00006E1A0000}"/>
    <cellStyle name="Normal 14 3 2 2 12" xfId="9103" xr:uid="{00000000-0005-0000-0000-00006F1A0000}"/>
    <cellStyle name="Normal 14 3 2 2 2" xfId="751" xr:uid="{00000000-0005-0000-0000-0000701A0000}"/>
    <cellStyle name="Normal 14 3 2 2 2 2" xfId="752" xr:uid="{00000000-0005-0000-0000-0000711A0000}"/>
    <cellStyle name="Normal 14 3 2 2 2 2 2" xfId="753" xr:uid="{00000000-0005-0000-0000-0000721A0000}"/>
    <cellStyle name="Normal 14 3 2 2 2 2 3" xfId="9104" xr:uid="{00000000-0005-0000-0000-0000731A0000}"/>
    <cellStyle name="Normal 14 3 2 2 2 3" xfId="754" xr:uid="{00000000-0005-0000-0000-0000741A0000}"/>
    <cellStyle name="Normal 14 3 2 2 2 3 2" xfId="9105" xr:uid="{00000000-0005-0000-0000-0000751A0000}"/>
    <cellStyle name="Normal 14 3 2 2 2 4" xfId="9106" xr:uid="{00000000-0005-0000-0000-0000761A0000}"/>
    <cellStyle name="Normal 14 3 2 2 2 5" xfId="9107" xr:uid="{00000000-0005-0000-0000-0000771A0000}"/>
    <cellStyle name="Normal 14 3 2 2 2 6" xfId="9108" xr:uid="{00000000-0005-0000-0000-0000781A0000}"/>
    <cellStyle name="Normal 14 3 2 2 2 7" xfId="9109" xr:uid="{00000000-0005-0000-0000-0000791A0000}"/>
    <cellStyle name="Normal 14 3 2 2 2 8" xfId="9110" xr:uid="{00000000-0005-0000-0000-00007A1A0000}"/>
    <cellStyle name="Normal 14 3 2 2 3" xfId="755" xr:uid="{00000000-0005-0000-0000-00007B1A0000}"/>
    <cellStyle name="Normal 14 3 2 2 3 2" xfId="756" xr:uid="{00000000-0005-0000-0000-00007C1A0000}"/>
    <cellStyle name="Normal 14 3 2 2 3 2 2" xfId="9111" xr:uid="{00000000-0005-0000-0000-00007D1A0000}"/>
    <cellStyle name="Normal 14 3 2 2 3 3" xfId="9112" xr:uid="{00000000-0005-0000-0000-00007E1A0000}"/>
    <cellStyle name="Normal 14 3 2 2 3 4" xfId="9113" xr:uid="{00000000-0005-0000-0000-00007F1A0000}"/>
    <cellStyle name="Normal 14 3 2 2 4" xfId="757" xr:uid="{00000000-0005-0000-0000-0000801A0000}"/>
    <cellStyle name="Normal 14 3 2 2 4 2" xfId="9114" xr:uid="{00000000-0005-0000-0000-0000811A0000}"/>
    <cellStyle name="Normal 14 3 2 2 5" xfId="9115" xr:uid="{00000000-0005-0000-0000-0000821A0000}"/>
    <cellStyle name="Normal 14 3 2 2 5 2" xfId="9116" xr:uid="{00000000-0005-0000-0000-0000831A0000}"/>
    <cellStyle name="Normal 14 3 2 2 6" xfId="9117" xr:uid="{00000000-0005-0000-0000-0000841A0000}"/>
    <cellStyle name="Normal 14 3 2 2 6 2" xfId="9118" xr:uid="{00000000-0005-0000-0000-0000851A0000}"/>
    <cellStyle name="Normal 14 3 2 2 7" xfId="9119" xr:uid="{00000000-0005-0000-0000-0000861A0000}"/>
    <cellStyle name="Normal 14 3 2 2 8" xfId="9120" xr:uid="{00000000-0005-0000-0000-0000871A0000}"/>
    <cellStyle name="Normal 14 3 2 2 9" xfId="9121" xr:uid="{00000000-0005-0000-0000-0000881A0000}"/>
    <cellStyle name="Normal 14 3 2 3" xfId="758" xr:uid="{00000000-0005-0000-0000-0000891A0000}"/>
    <cellStyle name="Normal 14 3 2 3 2" xfId="759" xr:uid="{00000000-0005-0000-0000-00008A1A0000}"/>
    <cellStyle name="Normal 14 3 2 3 2 2" xfId="760" xr:uid="{00000000-0005-0000-0000-00008B1A0000}"/>
    <cellStyle name="Normal 14 3 2 3 2 3" xfId="9122" xr:uid="{00000000-0005-0000-0000-00008C1A0000}"/>
    <cellStyle name="Normal 14 3 2 3 3" xfId="761" xr:uid="{00000000-0005-0000-0000-00008D1A0000}"/>
    <cellStyle name="Normal 14 3 2 3 3 2" xfId="9123" xr:uid="{00000000-0005-0000-0000-00008E1A0000}"/>
    <cellStyle name="Normal 14 3 2 3 4" xfId="9124" xr:uid="{00000000-0005-0000-0000-00008F1A0000}"/>
    <cellStyle name="Normal 14 3 2 3 5" xfId="9125" xr:uid="{00000000-0005-0000-0000-0000901A0000}"/>
    <cellStyle name="Normal 14 3 2 3 6" xfId="9126" xr:uid="{00000000-0005-0000-0000-0000911A0000}"/>
    <cellStyle name="Normal 14 3 2 3 7" xfId="9127" xr:uid="{00000000-0005-0000-0000-0000921A0000}"/>
    <cellStyle name="Normal 14 3 2 3 8" xfId="9128" xr:uid="{00000000-0005-0000-0000-0000931A0000}"/>
    <cellStyle name="Normal 14 3 2 4" xfId="762" xr:uid="{00000000-0005-0000-0000-0000941A0000}"/>
    <cellStyle name="Normal 14 3 2 4 2" xfId="763" xr:uid="{00000000-0005-0000-0000-0000951A0000}"/>
    <cellStyle name="Normal 14 3 2 4 2 2" xfId="9129" xr:uid="{00000000-0005-0000-0000-0000961A0000}"/>
    <cellStyle name="Normal 14 3 2 4 3" xfId="9130" xr:uid="{00000000-0005-0000-0000-0000971A0000}"/>
    <cellStyle name="Normal 14 3 2 4 4" xfId="9131" xr:uid="{00000000-0005-0000-0000-0000981A0000}"/>
    <cellStyle name="Normal 14 3 2 5" xfId="764" xr:uid="{00000000-0005-0000-0000-0000991A0000}"/>
    <cellStyle name="Normal 14 3 2 5 2" xfId="9132" xr:uid="{00000000-0005-0000-0000-00009A1A0000}"/>
    <cellStyle name="Normal 14 3 2 6" xfId="9133" xr:uid="{00000000-0005-0000-0000-00009B1A0000}"/>
    <cellStyle name="Normal 14 3 2 6 2" xfId="9134" xr:uid="{00000000-0005-0000-0000-00009C1A0000}"/>
    <cellStyle name="Normal 14 3 2 7" xfId="9135" xr:uid="{00000000-0005-0000-0000-00009D1A0000}"/>
    <cellStyle name="Normal 14 3 2 7 2" xfId="9136" xr:uid="{00000000-0005-0000-0000-00009E1A0000}"/>
    <cellStyle name="Normal 14 3 2 8" xfId="9137" xr:uid="{00000000-0005-0000-0000-00009F1A0000}"/>
    <cellStyle name="Normal 14 3 2 9" xfId="9138" xr:uid="{00000000-0005-0000-0000-0000A01A0000}"/>
    <cellStyle name="Normal 14 3 3" xfId="765" xr:uid="{00000000-0005-0000-0000-0000A11A0000}"/>
    <cellStyle name="Normal 14 3 3 10" xfId="9139" xr:uid="{00000000-0005-0000-0000-0000A21A0000}"/>
    <cellStyle name="Normal 14 3 3 11" xfId="9140" xr:uid="{00000000-0005-0000-0000-0000A31A0000}"/>
    <cellStyle name="Normal 14 3 3 12" xfId="9141" xr:uid="{00000000-0005-0000-0000-0000A41A0000}"/>
    <cellStyle name="Normal 14 3 3 2" xfId="766" xr:uid="{00000000-0005-0000-0000-0000A51A0000}"/>
    <cellStyle name="Normal 14 3 3 2 2" xfId="767" xr:uid="{00000000-0005-0000-0000-0000A61A0000}"/>
    <cellStyle name="Normal 14 3 3 2 2 2" xfId="768" xr:uid="{00000000-0005-0000-0000-0000A71A0000}"/>
    <cellStyle name="Normal 14 3 3 2 2 3" xfId="9142" xr:uid="{00000000-0005-0000-0000-0000A81A0000}"/>
    <cellStyle name="Normal 14 3 3 2 3" xfId="769" xr:uid="{00000000-0005-0000-0000-0000A91A0000}"/>
    <cellStyle name="Normal 14 3 3 2 3 2" xfId="9143" xr:uid="{00000000-0005-0000-0000-0000AA1A0000}"/>
    <cellStyle name="Normal 14 3 3 2 4" xfId="9144" xr:uid="{00000000-0005-0000-0000-0000AB1A0000}"/>
    <cellStyle name="Normal 14 3 3 2 5" xfId="9145" xr:uid="{00000000-0005-0000-0000-0000AC1A0000}"/>
    <cellStyle name="Normal 14 3 3 2 6" xfId="9146" xr:uid="{00000000-0005-0000-0000-0000AD1A0000}"/>
    <cellStyle name="Normal 14 3 3 2 7" xfId="9147" xr:uid="{00000000-0005-0000-0000-0000AE1A0000}"/>
    <cellStyle name="Normal 14 3 3 2 8" xfId="9148" xr:uid="{00000000-0005-0000-0000-0000AF1A0000}"/>
    <cellStyle name="Normal 14 3 3 3" xfId="770" xr:uid="{00000000-0005-0000-0000-0000B01A0000}"/>
    <cellStyle name="Normal 14 3 3 3 2" xfId="771" xr:uid="{00000000-0005-0000-0000-0000B11A0000}"/>
    <cellStyle name="Normal 14 3 3 3 2 2" xfId="9149" xr:uid="{00000000-0005-0000-0000-0000B21A0000}"/>
    <cellStyle name="Normal 14 3 3 3 3" xfId="9150" xr:uid="{00000000-0005-0000-0000-0000B31A0000}"/>
    <cellStyle name="Normal 14 3 3 3 4" xfId="9151" xr:uid="{00000000-0005-0000-0000-0000B41A0000}"/>
    <cellStyle name="Normal 14 3 3 4" xfId="772" xr:uid="{00000000-0005-0000-0000-0000B51A0000}"/>
    <cellStyle name="Normal 14 3 3 4 2" xfId="9152" xr:uid="{00000000-0005-0000-0000-0000B61A0000}"/>
    <cellStyle name="Normal 14 3 3 5" xfId="9153" xr:uid="{00000000-0005-0000-0000-0000B71A0000}"/>
    <cellStyle name="Normal 14 3 3 5 2" xfId="9154" xr:uid="{00000000-0005-0000-0000-0000B81A0000}"/>
    <cellStyle name="Normal 14 3 3 6" xfId="9155" xr:uid="{00000000-0005-0000-0000-0000B91A0000}"/>
    <cellStyle name="Normal 14 3 3 6 2" xfId="9156" xr:uid="{00000000-0005-0000-0000-0000BA1A0000}"/>
    <cellStyle name="Normal 14 3 3 7" xfId="9157" xr:uid="{00000000-0005-0000-0000-0000BB1A0000}"/>
    <cellStyle name="Normal 14 3 3 8" xfId="9158" xr:uid="{00000000-0005-0000-0000-0000BC1A0000}"/>
    <cellStyle name="Normal 14 3 3 9" xfId="9159" xr:uid="{00000000-0005-0000-0000-0000BD1A0000}"/>
    <cellStyle name="Normal 14 3 4" xfId="773" xr:uid="{00000000-0005-0000-0000-0000BE1A0000}"/>
    <cellStyle name="Normal 14 3 4 2" xfId="774" xr:uid="{00000000-0005-0000-0000-0000BF1A0000}"/>
    <cellStyle name="Normal 14 3 4 2 2" xfId="775" xr:uid="{00000000-0005-0000-0000-0000C01A0000}"/>
    <cellStyle name="Normal 14 3 4 2 3" xfId="9160" xr:uid="{00000000-0005-0000-0000-0000C11A0000}"/>
    <cellStyle name="Normal 14 3 4 3" xfId="776" xr:uid="{00000000-0005-0000-0000-0000C21A0000}"/>
    <cellStyle name="Normal 14 3 4 3 2" xfId="9161" xr:uid="{00000000-0005-0000-0000-0000C31A0000}"/>
    <cellStyle name="Normal 14 3 4 4" xfId="9162" xr:uid="{00000000-0005-0000-0000-0000C41A0000}"/>
    <cellStyle name="Normal 14 3 4 5" xfId="9163" xr:uid="{00000000-0005-0000-0000-0000C51A0000}"/>
    <cellStyle name="Normal 14 3 4 6" xfId="9164" xr:uid="{00000000-0005-0000-0000-0000C61A0000}"/>
    <cellStyle name="Normal 14 3 4 7" xfId="9165" xr:uid="{00000000-0005-0000-0000-0000C71A0000}"/>
    <cellStyle name="Normal 14 3 4 8" xfId="9166" xr:uid="{00000000-0005-0000-0000-0000C81A0000}"/>
    <cellStyle name="Normal 14 3 5" xfId="777" xr:uid="{00000000-0005-0000-0000-0000C91A0000}"/>
    <cellStyle name="Normal 14 3 5 2" xfId="778" xr:uid="{00000000-0005-0000-0000-0000CA1A0000}"/>
    <cellStyle name="Normal 14 3 5 2 2" xfId="9167" xr:uid="{00000000-0005-0000-0000-0000CB1A0000}"/>
    <cellStyle name="Normal 14 3 5 3" xfId="9168" xr:uid="{00000000-0005-0000-0000-0000CC1A0000}"/>
    <cellStyle name="Normal 14 3 5 4" xfId="9169" xr:uid="{00000000-0005-0000-0000-0000CD1A0000}"/>
    <cellStyle name="Normal 14 3 6" xfId="779" xr:uid="{00000000-0005-0000-0000-0000CE1A0000}"/>
    <cellStyle name="Normal 14 3 6 2" xfId="9170" xr:uid="{00000000-0005-0000-0000-0000CF1A0000}"/>
    <cellStyle name="Normal 14 3 7" xfId="9171" xr:uid="{00000000-0005-0000-0000-0000D01A0000}"/>
    <cellStyle name="Normal 14 3 7 2" xfId="9172" xr:uid="{00000000-0005-0000-0000-0000D11A0000}"/>
    <cellStyle name="Normal 14 3 8" xfId="9173" xr:uid="{00000000-0005-0000-0000-0000D21A0000}"/>
    <cellStyle name="Normal 14 3 8 2" xfId="9174" xr:uid="{00000000-0005-0000-0000-0000D31A0000}"/>
    <cellStyle name="Normal 14 3 9" xfId="9175" xr:uid="{00000000-0005-0000-0000-0000D41A0000}"/>
    <cellStyle name="Normal 14 4" xfId="780" xr:uid="{00000000-0005-0000-0000-0000D51A0000}"/>
    <cellStyle name="Normal 14 4 10" xfId="9176" xr:uid="{00000000-0005-0000-0000-0000D61A0000}"/>
    <cellStyle name="Normal 14 4 11" xfId="9177" xr:uid="{00000000-0005-0000-0000-0000D71A0000}"/>
    <cellStyle name="Normal 14 4 12" xfId="9178" xr:uid="{00000000-0005-0000-0000-0000D81A0000}"/>
    <cellStyle name="Normal 14 4 13" xfId="9179" xr:uid="{00000000-0005-0000-0000-0000D91A0000}"/>
    <cellStyle name="Normal 14 4 2" xfId="781" xr:uid="{00000000-0005-0000-0000-0000DA1A0000}"/>
    <cellStyle name="Normal 14 4 2 10" xfId="9180" xr:uid="{00000000-0005-0000-0000-0000DB1A0000}"/>
    <cellStyle name="Normal 14 4 2 11" xfId="9181" xr:uid="{00000000-0005-0000-0000-0000DC1A0000}"/>
    <cellStyle name="Normal 14 4 2 12" xfId="9182" xr:uid="{00000000-0005-0000-0000-0000DD1A0000}"/>
    <cellStyle name="Normal 14 4 2 2" xfId="782" xr:uid="{00000000-0005-0000-0000-0000DE1A0000}"/>
    <cellStyle name="Normal 14 4 2 2 2" xfId="783" xr:uid="{00000000-0005-0000-0000-0000DF1A0000}"/>
    <cellStyle name="Normal 14 4 2 2 2 2" xfId="784" xr:uid="{00000000-0005-0000-0000-0000E01A0000}"/>
    <cellStyle name="Normal 14 4 2 2 2 3" xfId="9183" xr:uid="{00000000-0005-0000-0000-0000E11A0000}"/>
    <cellStyle name="Normal 14 4 2 2 3" xfId="785" xr:uid="{00000000-0005-0000-0000-0000E21A0000}"/>
    <cellStyle name="Normal 14 4 2 2 3 2" xfId="9184" xr:uid="{00000000-0005-0000-0000-0000E31A0000}"/>
    <cellStyle name="Normal 14 4 2 2 4" xfId="9185" xr:uid="{00000000-0005-0000-0000-0000E41A0000}"/>
    <cellStyle name="Normal 14 4 2 2 5" xfId="9186" xr:uid="{00000000-0005-0000-0000-0000E51A0000}"/>
    <cellStyle name="Normal 14 4 2 2 6" xfId="9187" xr:uid="{00000000-0005-0000-0000-0000E61A0000}"/>
    <cellStyle name="Normal 14 4 2 2 7" xfId="9188" xr:uid="{00000000-0005-0000-0000-0000E71A0000}"/>
    <cellStyle name="Normal 14 4 2 2 8" xfId="9189" xr:uid="{00000000-0005-0000-0000-0000E81A0000}"/>
    <cellStyle name="Normal 14 4 2 3" xfId="786" xr:uid="{00000000-0005-0000-0000-0000E91A0000}"/>
    <cellStyle name="Normal 14 4 2 3 2" xfId="787" xr:uid="{00000000-0005-0000-0000-0000EA1A0000}"/>
    <cellStyle name="Normal 14 4 2 3 2 2" xfId="9190" xr:uid="{00000000-0005-0000-0000-0000EB1A0000}"/>
    <cellStyle name="Normal 14 4 2 3 3" xfId="9191" xr:uid="{00000000-0005-0000-0000-0000EC1A0000}"/>
    <cellStyle name="Normal 14 4 2 3 4" xfId="9192" xr:uid="{00000000-0005-0000-0000-0000ED1A0000}"/>
    <cellStyle name="Normal 14 4 2 4" xfId="788" xr:uid="{00000000-0005-0000-0000-0000EE1A0000}"/>
    <cellStyle name="Normal 14 4 2 4 2" xfId="9193" xr:uid="{00000000-0005-0000-0000-0000EF1A0000}"/>
    <cellStyle name="Normal 14 4 2 5" xfId="9194" xr:uid="{00000000-0005-0000-0000-0000F01A0000}"/>
    <cellStyle name="Normal 14 4 2 5 2" xfId="9195" xr:uid="{00000000-0005-0000-0000-0000F11A0000}"/>
    <cellStyle name="Normal 14 4 2 6" xfId="9196" xr:uid="{00000000-0005-0000-0000-0000F21A0000}"/>
    <cellStyle name="Normal 14 4 2 6 2" xfId="9197" xr:uid="{00000000-0005-0000-0000-0000F31A0000}"/>
    <cellStyle name="Normal 14 4 2 7" xfId="9198" xr:uid="{00000000-0005-0000-0000-0000F41A0000}"/>
    <cellStyle name="Normal 14 4 2 8" xfId="9199" xr:uid="{00000000-0005-0000-0000-0000F51A0000}"/>
    <cellStyle name="Normal 14 4 2 9" xfId="9200" xr:uid="{00000000-0005-0000-0000-0000F61A0000}"/>
    <cellStyle name="Normal 14 4 3" xfId="789" xr:uid="{00000000-0005-0000-0000-0000F71A0000}"/>
    <cellStyle name="Normal 14 4 3 2" xfId="790" xr:uid="{00000000-0005-0000-0000-0000F81A0000}"/>
    <cellStyle name="Normal 14 4 3 2 2" xfId="791" xr:uid="{00000000-0005-0000-0000-0000F91A0000}"/>
    <cellStyle name="Normal 14 4 3 2 3" xfId="9201" xr:uid="{00000000-0005-0000-0000-0000FA1A0000}"/>
    <cellStyle name="Normal 14 4 3 3" xfId="792" xr:uid="{00000000-0005-0000-0000-0000FB1A0000}"/>
    <cellStyle name="Normal 14 4 3 3 2" xfId="9202" xr:uid="{00000000-0005-0000-0000-0000FC1A0000}"/>
    <cellStyle name="Normal 14 4 3 4" xfId="9203" xr:uid="{00000000-0005-0000-0000-0000FD1A0000}"/>
    <cellStyle name="Normal 14 4 3 5" xfId="9204" xr:uid="{00000000-0005-0000-0000-0000FE1A0000}"/>
    <cellStyle name="Normal 14 4 3 6" xfId="9205" xr:uid="{00000000-0005-0000-0000-0000FF1A0000}"/>
    <cellStyle name="Normal 14 4 3 7" xfId="9206" xr:uid="{00000000-0005-0000-0000-0000001B0000}"/>
    <cellStyle name="Normal 14 4 3 8" xfId="9207" xr:uid="{00000000-0005-0000-0000-0000011B0000}"/>
    <cellStyle name="Normal 14 4 4" xfId="793" xr:uid="{00000000-0005-0000-0000-0000021B0000}"/>
    <cellStyle name="Normal 14 4 4 2" xfId="794" xr:uid="{00000000-0005-0000-0000-0000031B0000}"/>
    <cellStyle name="Normal 14 4 4 2 2" xfId="9208" xr:uid="{00000000-0005-0000-0000-0000041B0000}"/>
    <cellStyle name="Normal 14 4 4 3" xfId="9209" xr:uid="{00000000-0005-0000-0000-0000051B0000}"/>
    <cellStyle name="Normal 14 4 4 4" xfId="9210" xr:uid="{00000000-0005-0000-0000-0000061B0000}"/>
    <cellStyle name="Normal 14 4 5" xfId="795" xr:uid="{00000000-0005-0000-0000-0000071B0000}"/>
    <cellStyle name="Normal 14 4 5 2" xfId="9211" xr:uid="{00000000-0005-0000-0000-0000081B0000}"/>
    <cellStyle name="Normal 14 4 6" xfId="9212" xr:uid="{00000000-0005-0000-0000-0000091B0000}"/>
    <cellStyle name="Normal 14 4 6 2" xfId="9213" xr:uid="{00000000-0005-0000-0000-00000A1B0000}"/>
    <cellStyle name="Normal 14 4 7" xfId="9214" xr:uid="{00000000-0005-0000-0000-00000B1B0000}"/>
    <cellStyle name="Normal 14 4 7 2" xfId="9215" xr:uid="{00000000-0005-0000-0000-00000C1B0000}"/>
    <cellStyle name="Normal 14 4 8" xfId="9216" xr:uid="{00000000-0005-0000-0000-00000D1B0000}"/>
    <cellStyle name="Normal 14 4 9" xfId="9217" xr:uid="{00000000-0005-0000-0000-00000E1B0000}"/>
    <cellStyle name="Normal 14 5" xfId="796" xr:uid="{00000000-0005-0000-0000-00000F1B0000}"/>
    <cellStyle name="Normal 14 5 10" xfId="9218" xr:uid="{00000000-0005-0000-0000-0000101B0000}"/>
    <cellStyle name="Normal 14 5 11" xfId="9219" xr:uid="{00000000-0005-0000-0000-0000111B0000}"/>
    <cellStyle name="Normal 14 5 12" xfId="9220" xr:uid="{00000000-0005-0000-0000-0000121B0000}"/>
    <cellStyle name="Normal 14 5 2" xfId="797" xr:uid="{00000000-0005-0000-0000-0000131B0000}"/>
    <cellStyle name="Normal 14 5 2 2" xfId="798" xr:uid="{00000000-0005-0000-0000-0000141B0000}"/>
    <cellStyle name="Normal 14 5 2 2 2" xfId="799" xr:uid="{00000000-0005-0000-0000-0000151B0000}"/>
    <cellStyle name="Normal 14 5 2 2 3" xfId="9221" xr:uid="{00000000-0005-0000-0000-0000161B0000}"/>
    <cellStyle name="Normal 14 5 2 3" xfId="800" xr:uid="{00000000-0005-0000-0000-0000171B0000}"/>
    <cellStyle name="Normal 14 5 2 3 2" xfId="9222" xr:uid="{00000000-0005-0000-0000-0000181B0000}"/>
    <cellStyle name="Normal 14 5 2 4" xfId="9223" xr:uid="{00000000-0005-0000-0000-0000191B0000}"/>
    <cellStyle name="Normal 14 5 2 5" xfId="9224" xr:uid="{00000000-0005-0000-0000-00001A1B0000}"/>
    <cellStyle name="Normal 14 5 2 6" xfId="9225" xr:uid="{00000000-0005-0000-0000-00001B1B0000}"/>
    <cellStyle name="Normal 14 5 2 7" xfId="9226" xr:uid="{00000000-0005-0000-0000-00001C1B0000}"/>
    <cellStyle name="Normal 14 5 2 8" xfId="9227" xr:uid="{00000000-0005-0000-0000-00001D1B0000}"/>
    <cellStyle name="Normal 14 5 3" xfId="801" xr:uid="{00000000-0005-0000-0000-00001E1B0000}"/>
    <cellStyle name="Normal 14 5 3 2" xfId="802" xr:uid="{00000000-0005-0000-0000-00001F1B0000}"/>
    <cellStyle name="Normal 14 5 3 2 2" xfId="9228" xr:uid="{00000000-0005-0000-0000-0000201B0000}"/>
    <cellStyle name="Normal 14 5 3 3" xfId="9229" xr:uid="{00000000-0005-0000-0000-0000211B0000}"/>
    <cellStyle name="Normal 14 5 3 4" xfId="9230" xr:uid="{00000000-0005-0000-0000-0000221B0000}"/>
    <cellStyle name="Normal 14 5 4" xfId="803" xr:uid="{00000000-0005-0000-0000-0000231B0000}"/>
    <cellStyle name="Normal 14 5 4 2" xfId="9231" xr:uid="{00000000-0005-0000-0000-0000241B0000}"/>
    <cellStyle name="Normal 14 5 5" xfId="9232" xr:uid="{00000000-0005-0000-0000-0000251B0000}"/>
    <cellStyle name="Normal 14 5 5 2" xfId="9233" xr:uid="{00000000-0005-0000-0000-0000261B0000}"/>
    <cellStyle name="Normal 14 5 6" xfId="9234" xr:uid="{00000000-0005-0000-0000-0000271B0000}"/>
    <cellStyle name="Normal 14 5 6 2" xfId="9235" xr:uid="{00000000-0005-0000-0000-0000281B0000}"/>
    <cellStyle name="Normal 14 5 7" xfId="9236" xr:uid="{00000000-0005-0000-0000-0000291B0000}"/>
    <cellStyle name="Normal 14 5 8" xfId="9237" xr:uid="{00000000-0005-0000-0000-00002A1B0000}"/>
    <cellStyle name="Normal 14 5 9" xfId="9238" xr:uid="{00000000-0005-0000-0000-00002B1B0000}"/>
    <cellStyle name="Normal 14 6" xfId="804" xr:uid="{00000000-0005-0000-0000-00002C1B0000}"/>
    <cellStyle name="Normal 14 6 2" xfId="805" xr:uid="{00000000-0005-0000-0000-00002D1B0000}"/>
    <cellStyle name="Normal 14 6 2 2" xfId="806" xr:uid="{00000000-0005-0000-0000-00002E1B0000}"/>
    <cellStyle name="Normal 14 6 2 3" xfId="9239" xr:uid="{00000000-0005-0000-0000-00002F1B0000}"/>
    <cellStyle name="Normal 14 6 3" xfId="807" xr:uid="{00000000-0005-0000-0000-0000301B0000}"/>
    <cellStyle name="Normal 14 6 3 2" xfId="9240" xr:uid="{00000000-0005-0000-0000-0000311B0000}"/>
    <cellStyle name="Normal 14 6 4" xfId="9241" xr:uid="{00000000-0005-0000-0000-0000321B0000}"/>
    <cellStyle name="Normal 14 6 5" xfId="9242" xr:uid="{00000000-0005-0000-0000-0000331B0000}"/>
    <cellStyle name="Normal 14 6 6" xfId="9243" xr:uid="{00000000-0005-0000-0000-0000341B0000}"/>
    <cellStyle name="Normal 14 6 7" xfId="9244" xr:uid="{00000000-0005-0000-0000-0000351B0000}"/>
    <cellStyle name="Normal 14 6 8" xfId="9245" xr:uid="{00000000-0005-0000-0000-0000361B0000}"/>
    <cellStyle name="Normal 14 6 9" xfId="9246" xr:uid="{00000000-0005-0000-0000-0000371B0000}"/>
    <cellStyle name="Normal 14 7" xfId="808" xr:uid="{00000000-0005-0000-0000-0000381B0000}"/>
    <cellStyle name="Normal 14 7 2" xfId="809" xr:uid="{00000000-0005-0000-0000-0000391B0000}"/>
    <cellStyle name="Normal 14 7 2 2" xfId="9247" xr:uid="{00000000-0005-0000-0000-00003A1B0000}"/>
    <cellStyle name="Normal 14 7 3" xfId="9248" xr:uid="{00000000-0005-0000-0000-00003B1B0000}"/>
    <cellStyle name="Normal 14 7 4" xfId="9249" xr:uid="{00000000-0005-0000-0000-00003C1B0000}"/>
    <cellStyle name="Normal 14 8" xfId="810" xr:uid="{00000000-0005-0000-0000-00003D1B0000}"/>
    <cellStyle name="Normal 14 8 2" xfId="9250" xr:uid="{00000000-0005-0000-0000-00003E1B0000}"/>
    <cellStyle name="Normal 14 9" xfId="9251" xr:uid="{00000000-0005-0000-0000-00003F1B0000}"/>
    <cellStyle name="Normal 14 9 2" xfId="9252" xr:uid="{00000000-0005-0000-0000-0000401B0000}"/>
    <cellStyle name="Normal 140" xfId="9253" xr:uid="{00000000-0005-0000-0000-0000411B0000}"/>
    <cellStyle name="Normal 141" xfId="9254" xr:uid="{00000000-0005-0000-0000-0000421B0000}"/>
    <cellStyle name="Normal 142" xfId="9255" xr:uid="{00000000-0005-0000-0000-0000431B0000}"/>
    <cellStyle name="Normal 143" xfId="9256" xr:uid="{00000000-0005-0000-0000-0000441B0000}"/>
    <cellStyle name="Normal 144" xfId="9257" xr:uid="{00000000-0005-0000-0000-0000451B0000}"/>
    <cellStyle name="Normal 145" xfId="9258" xr:uid="{00000000-0005-0000-0000-0000461B0000}"/>
    <cellStyle name="Normal 146" xfId="9259" xr:uid="{00000000-0005-0000-0000-0000471B0000}"/>
    <cellStyle name="Normal 147" xfId="9260" xr:uid="{00000000-0005-0000-0000-0000481B0000}"/>
    <cellStyle name="Normal 148" xfId="9261" xr:uid="{00000000-0005-0000-0000-0000491B0000}"/>
    <cellStyle name="Normal 149" xfId="9262" xr:uid="{00000000-0005-0000-0000-00004A1B0000}"/>
    <cellStyle name="Normal 15" xfId="811" xr:uid="{00000000-0005-0000-0000-00004B1B0000}"/>
    <cellStyle name="Normal 15 2" xfId="812" xr:uid="{00000000-0005-0000-0000-00004C1B0000}"/>
    <cellStyle name="Normal 15 2 2" xfId="813" xr:uid="{00000000-0005-0000-0000-00004D1B0000}"/>
    <cellStyle name="Normal 15 2 2 2" xfId="814" xr:uid="{00000000-0005-0000-0000-00004E1B0000}"/>
    <cellStyle name="Normal 15 2 2 2 2" xfId="815" xr:uid="{00000000-0005-0000-0000-00004F1B0000}"/>
    <cellStyle name="Normal 15 2 2 2 2 2" xfId="816" xr:uid="{00000000-0005-0000-0000-0000501B0000}"/>
    <cellStyle name="Normal 15 2 2 2 2 2 2" xfId="817" xr:uid="{00000000-0005-0000-0000-0000511B0000}"/>
    <cellStyle name="Normal 15 2 2 2 2 2 2 2" xfId="818" xr:uid="{00000000-0005-0000-0000-0000521B0000}"/>
    <cellStyle name="Normal 15 2 2 2 2 2 3" xfId="819" xr:uid="{00000000-0005-0000-0000-0000531B0000}"/>
    <cellStyle name="Normal 15 2 2 2 2 3" xfId="820" xr:uid="{00000000-0005-0000-0000-0000541B0000}"/>
    <cellStyle name="Normal 15 2 2 2 2 3 2" xfId="821" xr:uid="{00000000-0005-0000-0000-0000551B0000}"/>
    <cellStyle name="Normal 15 2 2 2 2 4" xfId="822" xr:uid="{00000000-0005-0000-0000-0000561B0000}"/>
    <cellStyle name="Normal 15 2 2 2 3" xfId="823" xr:uid="{00000000-0005-0000-0000-0000571B0000}"/>
    <cellStyle name="Normal 15 2 2 2 3 2" xfId="824" xr:uid="{00000000-0005-0000-0000-0000581B0000}"/>
    <cellStyle name="Normal 15 2 2 2 3 2 2" xfId="825" xr:uid="{00000000-0005-0000-0000-0000591B0000}"/>
    <cellStyle name="Normal 15 2 2 2 3 3" xfId="826" xr:uid="{00000000-0005-0000-0000-00005A1B0000}"/>
    <cellStyle name="Normal 15 2 2 2 4" xfId="827" xr:uid="{00000000-0005-0000-0000-00005B1B0000}"/>
    <cellStyle name="Normal 15 2 2 2 4 2" xfId="828" xr:uid="{00000000-0005-0000-0000-00005C1B0000}"/>
    <cellStyle name="Normal 15 2 2 2 5" xfId="829" xr:uid="{00000000-0005-0000-0000-00005D1B0000}"/>
    <cellStyle name="Normal 15 2 2 3" xfId="830" xr:uid="{00000000-0005-0000-0000-00005E1B0000}"/>
    <cellStyle name="Normal 15 2 2 3 2" xfId="831" xr:uid="{00000000-0005-0000-0000-00005F1B0000}"/>
    <cellStyle name="Normal 15 2 2 3 2 2" xfId="832" xr:uid="{00000000-0005-0000-0000-0000601B0000}"/>
    <cellStyle name="Normal 15 2 2 3 2 2 2" xfId="833" xr:uid="{00000000-0005-0000-0000-0000611B0000}"/>
    <cellStyle name="Normal 15 2 2 3 2 3" xfId="834" xr:uid="{00000000-0005-0000-0000-0000621B0000}"/>
    <cellStyle name="Normal 15 2 2 3 3" xfId="835" xr:uid="{00000000-0005-0000-0000-0000631B0000}"/>
    <cellStyle name="Normal 15 2 2 3 3 2" xfId="836" xr:uid="{00000000-0005-0000-0000-0000641B0000}"/>
    <cellStyle name="Normal 15 2 2 3 4" xfId="837" xr:uid="{00000000-0005-0000-0000-0000651B0000}"/>
    <cellStyle name="Normal 15 2 2 4" xfId="838" xr:uid="{00000000-0005-0000-0000-0000661B0000}"/>
    <cellStyle name="Normal 15 2 2 4 2" xfId="839" xr:uid="{00000000-0005-0000-0000-0000671B0000}"/>
    <cellStyle name="Normal 15 2 2 4 2 2" xfId="840" xr:uid="{00000000-0005-0000-0000-0000681B0000}"/>
    <cellStyle name="Normal 15 2 2 4 3" xfId="841" xr:uid="{00000000-0005-0000-0000-0000691B0000}"/>
    <cellStyle name="Normal 15 2 2 5" xfId="842" xr:uid="{00000000-0005-0000-0000-00006A1B0000}"/>
    <cellStyle name="Normal 15 2 2 5 2" xfId="843" xr:uid="{00000000-0005-0000-0000-00006B1B0000}"/>
    <cellStyle name="Normal 15 2 2 6" xfId="844" xr:uid="{00000000-0005-0000-0000-00006C1B0000}"/>
    <cellStyle name="Normal 15 2 3" xfId="845" xr:uid="{00000000-0005-0000-0000-00006D1B0000}"/>
    <cellStyle name="Normal 15 2 3 2" xfId="846" xr:uid="{00000000-0005-0000-0000-00006E1B0000}"/>
    <cellStyle name="Normal 15 2 3 2 2" xfId="847" xr:uid="{00000000-0005-0000-0000-00006F1B0000}"/>
    <cellStyle name="Normal 15 2 3 2 2 2" xfId="848" xr:uid="{00000000-0005-0000-0000-0000701B0000}"/>
    <cellStyle name="Normal 15 2 3 2 2 2 2" xfId="849" xr:uid="{00000000-0005-0000-0000-0000711B0000}"/>
    <cellStyle name="Normal 15 2 3 2 2 3" xfId="850" xr:uid="{00000000-0005-0000-0000-0000721B0000}"/>
    <cellStyle name="Normal 15 2 3 2 3" xfId="851" xr:uid="{00000000-0005-0000-0000-0000731B0000}"/>
    <cellStyle name="Normal 15 2 3 2 3 2" xfId="852" xr:uid="{00000000-0005-0000-0000-0000741B0000}"/>
    <cellStyle name="Normal 15 2 3 2 4" xfId="853" xr:uid="{00000000-0005-0000-0000-0000751B0000}"/>
    <cellStyle name="Normal 15 2 3 3" xfId="854" xr:uid="{00000000-0005-0000-0000-0000761B0000}"/>
    <cellStyle name="Normal 15 2 3 3 2" xfId="855" xr:uid="{00000000-0005-0000-0000-0000771B0000}"/>
    <cellStyle name="Normal 15 2 3 3 2 2" xfId="856" xr:uid="{00000000-0005-0000-0000-0000781B0000}"/>
    <cellStyle name="Normal 15 2 3 3 3" xfId="857" xr:uid="{00000000-0005-0000-0000-0000791B0000}"/>
    <cellStyle name="Normal 15 2 3 4" xfId="858" xr:uid="{00000000-0005-0000-0000-00007A1B0000}"/>
    <cellStyle name="Normal 15 2 3 4 2" xfId="859" xr:uid="{00000000-0005-0000-0000-00007B1B0000}"/>
    <cellStyle name="Normal 15 2 3 5" xfId="860" xr:uid="{00000000-0005-0000-0000-00007C1B0000}"/>
    <cellStyle name="Normal 15 2 4" xfId="861" xr:uid="{00000000-0005-0000-0000-00007D1B0000}"/>
    <cellStyle name="Normal 15 2 4 2" xfId="862" xr:uid="{00000000-0005-0000-0000-00007E1B0000}"/>
    <cellStyle name="Normal 15 2 4 2 2" xfId="863" xr:uid="{00000000-0005-0000-0000-00007F1B0000}"/>
    <cellStyle name="Normal 15 2 4 2 2 2" xfId="864" xr:uid="{00000000-0005-0000-0000-0000801B0000}"/>
    <cellStyle name="Normal 15 2 4 2 3" xfId="865" xr:uid="{00000000-0005-0000-0000-0000811B0000}"/>
    <cellStyle name="Normal 15 2 4 3" xfId="866" xr:uid="{00000000-0005-0000-0000-0000821B0000}"/>
    <cellStyle name="Normal 15 2 4 3 2" xfId="867" xr:uid="{00000000-0005-0000-0000-0000831B0000}"/>
    <cellStyle name="Normal 15 2 4 4" xfId="868" xr:uid="{00000000-0005-0000-0000-0000841B0000}"/>
    <cellStyle name="Normal 15 2 5" xfId="869" xr:uid="{00000000-0005-0000-0000-0000851B0000}"/>
    <cellStyle name="Normal 15 2 5 2" xfId="870" xr:uid="{00000000-0005-0000-0000-0000861B0000}"/>
    <cellStyle name="Normal 15 2 5 2 2" xfId="871" xr:uid="{00000000-0005-0000-0000-0000871B0000}"/>
    <cellStyle name="Normal 15 2 5 3" xfId="872" xr:uid="{00000000-0005-0000-0000-0000881B0000}"/>
    <cellStyle name="Normal 15 2 6" xfId="873" xr:uid="{00000000-0005-0000-0000-0000891B0000}"/>
    <cellStyle name="Normal 15 2 6 2" xfId="874" xr:uid="{00000000-0005-0000-0000-00008A1B0000}"/>
    <cellStyle name="Normal 15 2 7" xfId="875" xr:uid="{00000000-0005-0000-0000-00008B1B0000}"/>
    <cellStyle name="Normal 15 3" xfId="876" xr:uid="{00000000-0005-0000-0000-00008C1B0000}"/>
    <cellStyle name="Normal 15 3 2" xfId="877" xr:uid="{00000000-0005-0000-0000-00008D1B0000}"/>
    <cellStyle name="Normal 15 3 2 2" xfId="878" xr:uid="{00000000-0005-0000-0000-00008E1B0000}"/>
    <cellStyle name="Normal 15 3 2 2 2" xfId="879" xr:uid="{00000000-0005-0000-0000-00008F1B0000}"/>
    <cellStyle name="Normal 15 3 2 2 2 2" xfId="880" xr:uid="{00000000-0005-0000-0000-0000901B0000}"/>
    <cellStyle name="Normal 15 3 2 2 2 2 2" xfId="881" xr:uid="{00000000-0005-0000-0000-0000911B0000}"/>
    <cellStyle name="Normal 15 3 2 2 2 3" xfId="882" xr:uid="{00000000-0005-0000-0000-0000921B0000}"/>
    <cellStyle name="Normal 15 3 2 2 3" xfId="883" xr:uid="{00000000-0005-0000-0000-0000931B0000}"/>
    <cellStyle name="Normal 15 3 2 2 3 2" xfId="884" xr:uid="{00000000-0005-0000-0000-0000941B0000}"/>
    <cellStyle name="Normal 15 3 2 2 4" xfId="885" xr:uid="{00000000-0005-0000-0000-0000951B0000}"/>
    <cellStyle name="Normal 15 3 2 3" xfId="886" xr:uid="{00000000-0005-0000-0000-0000961B0000}"/>
    <cellStyle name="Normal 15 3 2 3 2" xfId="887" xr:uid="{00000000-0005-0000-0000-0000971B0000}"/>
    <cellStyle name="Normal 15 3 2 3 2 2" xfId="888" xr:uid="{00000000-0005-0000-0000-0000981B0000}"/>
    <cellStyle name="Normal 15 3 2 3 3" xfId="889" xr:uid="{00000000-0005-0000-0000-0000991B0000}"/>
    <cellStyle name="Normal 15 3 2 4" xfId="890" xr:uid="{00000000-0005-0000-0000-00009A1B0000}"/>
    <cellStyle name="Normal 15 3 2 4 2" xfId="891" xr:uid="{00000000-0005-0000-0000-00009B1B0000}"/>
    <cellStyle name="Normal 15 3 2 5" xfId="892" xr:uid="{00000000-0005-0000-0000-00009C1B0000}"/>
    <cellStyle name="Normal 15 3 3" xfId="893" xr:uid="{00000000-0005-0000-0000-00009D1B0000}"/>
    <cellStyle name="Normal 15 3 3 2" xfId="894" xr:uid="{00000000-0005-0000-0000-00009E1B0000}"/>
    <cellStyle name="Normal 15 3 3 2 2" xfId="895" xr:uid="{00000000-0005-0000-0000-00009F1B0000}"/>
    <cellStyle name="Normal 15 3 3 2 2 2" xfId="896" xr:uid="{00000000-0005-0000-0000-0000A01B0000}"/>
    <cellStyle name="Normal 15 3 3 2 3" xfId="897" xr:uid="{00000000-0005-0000-0000-0000A11B0000}"/>
    <cellStyle name="Normal 15 3 3 3" xfId="898" xr:uid="{00000000-0005-0000-0000-0000A21B0000}"/>
    <cellStyle name="Normal 15 3 3 3 2" xfId="899" xr:uid="{00000000-0005-0000-0000-0000A31B0000}"/>
    <cellStyle name="Normal 15 3 3 4" xfId="900" xr:uid="{00000000-0005-0000-0000-0000A41B0000}"/>
    <cellStyle name="Normal 15 3 4" xfId="901" xr:uid="{00000000-0005-0000-0000-0000A51B0000}"/>
    <cellStyle name="Normal 15 3 4 2" xfId="902" xr:uid="{00000000-0005-0000-0000-0000A61B0000}"/>
    <cellStyle name="Normal 15 3 4 2 2" xfId="903" xr:uid="{00000000-0005-0000-0000-0000A71B0000}"/>
    <cellStyle name="Normal 15 3 4 3" xfId="904" xr:uid="{00000000-0005-0000-0000-0000A81B0000}"/>
    <cellStyle name="Normal 15 3 5" xfId="905" xr:uid="{00000000-0005-0000-0000-0000A91B0000}"/>
    <cellStyle name="Normal 15 3 5 2" xfId="906" xr:uid="{00000000-0005-0000-0000-0000AA1B0000}"/>
    <cellStyle name="Normal 15 3 6" xfId="907" xr:uid="{00000000-0005-0000-0000-0000AB1B0000}"/>
    <cellStyle name="Normal 15 4" xfId="908" xr:uid="{00000000-0005-0000-0000-0000AC1B0000}"/>
    <cellStyle name="Normal 15 4 2" xfId="909" xr:uid="{00000000-0005-0000-0000-0000AD1B0000}"/>
    <cellStyle name="Normal 15 4 2 2" xfId="910" xr:uid="{00000000-0005-0000-0000-0000AE1B0000}"/>
    <cellStyle name="Normal 15 4 2 2 2" xfId="911" xr:uid="{00000000-0005-0000-0000-0000AF1B0000}"/>
    <cellStyle name="Normal 15 4 2 2 2 2" xfId="912" xr:uid="{00000000-0005-0000-0000-0000B01B0000}"/>
    <cellStyle name="Normal 15 4 2 2 3" xfId="913" xr:uid="{00000000-0005-0000-0000-0000B11B0000}"/>
    <cellStyle name="Normal 15 4 2 3" xfId="914" xr:uid="{00000000-0005-0000-0000-0000B21B0000}"/>
    <cellStyle name="Normal 15 4 2 3 2" xfId="915" xr:uid="{00000000-0005-0000-0000-0000B31B0000}"/>
    <cellStyle name="Normal 15 4 2 4" xfId="916" xr:uid="{00000000-0005-0000-0000-0000B41B0000}"/>
    <cellStyle name="Normal 15 4 3" xfId="917" xr:uid="{00000000-0005-0000-0000-0000B51B0000}"/>
    <cellStyle name="Normal 15 4 3 2" xfId="918" xr:uid="{00000000-0005-0000-0000-0000B61B0000}"/>
    <cellStyle name="Normal 15 4 3 2 2" xfId="919" xr:uid="{00000000-0005-0000-0000-0000B71B0000}"/>
    <cellStyle name="Normal 15 4 3 3" xfId="920" xr:uid="{00000000-0005-0000-0000-0000B81B0000}"/>
    <cellStyle name="Normal 15 4 4" xfId="921" xr:uid="{00000000-0005-0000-0000-0000B91B0000}"/>
    <cellStyle name="Normal 15 4 4 2" xfId="922" xr:uid="{00000000-0005-0000-0000-0000BA1B0000}"/>
    <cellStyle name="Normal 15 4 5" xfId="923" xr:uid="{00000000-0005-0000-0000-0000BB1B0000}"/>
    <cellStyle name="Normal 15 5" xfId="924" xr:uid="{00000000-0005-0000-0000-0000BC1B0000}"/>
    <cellStyle name="Normal 15 5 2" xfId="925" xr:uid="{00000000-0005-0000-0000-0000BD1B0000}"/>
    <cellStyle name="Normal 15 5 2 2" xfId="926" xr:uid="{00000000-0005-0000-0000-0000BE1B0000}"/>
    <cellStyle name="Normal 15 5 2 2 2" xfId="927" xr:uid="{00000000-0005-0000-0000-0000BF1B0000}"/>
    <cellStyle name="Normal 15 5 2 3" xfId="928" xr:uid="{00000000-0005-0000-0000-0000C01B0000}"/>
    <cellStyle name="Normal 15 5 3" xfId="929" xr:uid="{00000000-0005-0000-0000-0000C11B0000}"/>
    <cellStyle name="Normal 15 5 3 2" xfId="930" xr:uid="{00000000-0005-0000-0000-0000C21B0000}"/>
    <cellStyle name="Normal 15 5 4" xfId="931" xr:uid="{00000000-0005-0000-0000-0000C31B0000}"/>
    <cellStyle name="Normal 15 6" xfId="932" xr:uid="{00000000-0005-0000-0000-0000C41B0000}"/>
    <cellStyle name="Normal 15 6 2" xfId="933" xr:uid="{00000000-0005-0000-0000-0000C51B0000}"/>
    <cellStyle name="Normal 15 6 2 2" xfId="934" xr:uid="{00000000-0005-0000-0000-0000C61B0000}"/>
    <cellStyle name="Normal 15 6 3" xfId="935" xr:uid="{00000000-0005-0000-0000-0000C71B0000}"/>
    <cellStyle name="Normal 15 7" xfId="936" xr:uid="{00000000-0005-0000-0000-0000C81B0000}"/>
    <cellStyle name="Normal 15 7 2" xfId="937" xr:uid="{00000000-0005-0000-0000-0000C91B0000}"/>
    <cellStyle name="Normal 15 8" xfId="938" xr:uid="{00000000-0005-0000-0000-0000CA1B0000}"/>
    <cellStyle name="Normal 150" xfId="9263" xr:uid="{00000000-0005-0000-0000-0000CB1B0000}"/>
    <cellStyle name="Normal 151" xfId="9264" xr:uid="{00000000-0005-0000-0000-0000CC1B0000}"/>
    <cellStyle name="Normal 152" xfId="9265" xr:uid="{00000000-0005-0000-0000-0000CD1B0000}"/>
    <cellStyle name="Normal 153" xfId="9266" xr:uid="{00000000-0005-0000-0000-0000CE1B0000}"/>
    <cellStyle name="Normal 154" xfId="9267" xr:uid="{00000000-0005-0000-0000-0000CF1B0000}"/>
    <cellStyle name="Normal 155" xfId="9268" xr:uid="{00000000-0005-0000-0000-0000D01B0000}"/>
    <cellStyle name="Normal 156" xfId="9269" xr:uid="{00000000-0005-0000-0000-0000D11B0000}"/>
    <cellStyle name="Normal 157" xfId="9270" xr:uid="{00000000-0005-0000-0000-0000D21B0000}"/>
    <cellStyle name="Normal 158" xfId="9271" xr:uid="{00000000-0005-0000-0000-0000D31B0000}"/>
    <cellStyle name="Normal 159" xfId="9272" xr:uid="{00000000-0005-0000-0000-0000D41B0000}"/>
    <cellStyle name="Normal 16" xfId="939" xr:uid="{00000000-0005-0000-0000-0000D51B0000}"/>
    <cellStyle name="Normal 16 2" xfId="940" xr:uid="{00000000-0005-0000-0000-0000D61B0000}"/>
    <cellStyle name="Normal 16 2 2" xfId="9273" xr:uid="{00000000-0005-0000-0000-0000D71B0000}"/>
    <cellStyle name="Normal 16 2 2 2" xfId="9274" xr:uid="{00000000-0005-0000-0000-0000D81B0000}"/>
    <cellStyle name="Normal 16 2 2 2 2" xfId="9275" xr:uid="{00000000-0005-0000-0000-0000D91B0000}"/>
    <cellStyle name="Normal 16 2 2 3" xfId="9276" xr:uid="{00000000-0005-0000-0000-0000DA1B0000}"/>
    <cellStyle name="Normal 16 2 3" xfId="9277" xr:uid="{00000000-0005-0000-0000-0000DB1B0000}"/>
    <cellStyle name="Normal 16 2 3 2" xfId="9278" xr:uid="{00000000-0005-0000-0000-0000DC1B0000}"/>
    <cellStyle name="Normal 16 2 4" xfId="9279" xr:uid="{00000000-0005-0000-0000-0000DD1B0000}"/>
    <cellStyle name="Normal 16 2 5" xfId="9280" xr:uid="{00000000-0005-0000-0000-0000DE1B0000}"/>
    <cellStyle name="Normal 16 3" xfId="9281" xr:uid="{00000000-0005-0000-0000-0000DF1B0000}"/>
    <cellStyle name="Normal 16 3 2" xfId="9282" xr:uid="{00000000-0005-0000-0000-0000E01B0000}"/>
    <cellStyle name="Normal 16 3 2 2" xfId="9283" xr:uid="{00000000-0005-0000-0000-0000E11B0000}"/>
    <cellStyle name="Normal 16 3 3" xfId="9284" xr:uid="{00000000-0005-0000-0000-0000E21B0000}"/>
    <cellStyle name="Normal 16 3 4" xfId="9285" xr:uid="{00000000-0005-0000-0000-0000E31B0000}"/>
    <cellStyle name="Normal 16 4" xfId="9286" xr:uid="{00000000-0005-0000-0000-0000E41B0000}"/>
    <cellStyle name="Normal 16 4 2" xfId="9287" xr:uid="{00000000-0005-0000-0000-0000E51B0000}"/>
    <cellStyle name="Normal 16 5" xfId="9288" xr:uid="{00000000-0005-0000-0000-0000E61B0000}"/>
    <cellStyle name="Normal 16 6" xfId="9289" xr:uid="{00000000-0005-0000-0000-0000E71B0000}"/>
    <cellStyle name="Normal 16 7" xfId="9290" xr:uid="{00000000-0005-0000-0000-0000E81B0000}"/>
    <cellStyle name="Normal 160" xfId="9291" xr:uid="{00000000-0005-0000-0000-0000E91B0000}"/>
    <cellStyle name="Normal 161" xfId="9292" xr:uid="{00000000-0005-0000-0000-0000EA1B0000}"/>
    <cellStyle name="Normal 162" xfId="9293" xr:uid="{00000000-0005-0000-0000-0000EB1B0000}"/>
    <cellStyle name="Normal 163" xfId="9294" xr:uid="{00000000-0005-0000-0000-0000EC1B0000}"/>
    <cellStyle name="Normal 164" xfId="9295" xr:uid="{00000000-0005-0000-0000-0000ED1B0000}"/>
    <cellStyle name="Normal 165" xfId="9296" xr:uid="{00000000-0005-0000-0000-0000EE1B0000}"/>
    <cellStyle name="Normal 166" xfId="9297" xr:uid="{00000000-0005-0000-0000-0000EF1B0000}"/>
    <cellStyle name="Normal 167" xfId="9298" xr:uid="{00000000-0005-0000-0000-0000F01B0000}"/>
    <cellStyle name="Normal 168" xfId="9299" xr:uid="{00000000-0005-0000-0000-0000F11B0000}"/>
    <cellStyle name="Normal 169" xfId="9300" xr:uid="{00000000-0005-0000-0000-0000F21B0000}"/>
    <cellStyle name="Normal 17" xfId="941" xr:uid="{00000000-0005-0000-0000-0000F31B0000}"/>
    <cellStyle name="Normal 17 10" xfId="9301" xr:uid="{00000000-0005-0000-0000-0000F41B0000}"/>
    <cellStyle name="Normal 17 10 2" xfId="9302" xr:uid="{00000000-0005-0000-0000-0000F51B0000}"/>
    <cellStyle name="Normal 17 11" xfId="9303" xr:uid="{00000000-0005-0000-0000-0000F61B0000}"/>
    <cellStyle name="Normal 17 12" xfId="9304" xr:uid="{00000000-0005-0000-0000-0000F71B0000}"/>
    <cellStyle name="Normal 17 13" xfId="9305" xr:uid="{00000000-0005-0000-0000-0000F81B0000}"/>
    <cellStyle name="Normal 17 14" xfId="9306" xr:uid="{00000000-0005-0000-0000-0000F91B0000}"/>
    <cellStyle name="Normal 17 15" xfId="9307" xr:uid="{00000000-0005-0000-0000-0000FA1B0000}"/>
    <cellStyle name="Normal 17 16" xfId="9308" xr:uid="{00000000-0005-0000-0000-0000FB1B0000}"/>
    <cellStyle name="Normal 17 2" xfId="2987" xr:uid="{00000000-0005-0000-0000-0000FC1B0000}"/>
    <cellStyle name="Normal 17 2 10" xfId="9309" xr:uid="{00000000-0005-0000-0000-0000FD1B0000}"/>
    <cellStyle name="Normal 17 2 11" xfId="9310" xr:uid="{00000000-0005-0000-0000-0000FE1B0000}"/>
    <cellStyle name="Normal 17 2 12" xfId="9311" xr:uid="{00000000-0005-0000-0000-0000FF1B0000}"/>
    <cellStyle name="Normal 17 2 13" xfId="9312" xr:uid="{00000000-0005-0000-0000-0000001C0000}"/>
    <cellStyle name="Normal 17 2 14" xfId="9313" xr:uid="{00000000-0005-0000-0000-0000011C0000}"/>
    <cellStyle name="Normal 17 2 2" xfId="9314" xr:uid="{00000000-0005-0000-0000-0000021C0000}"/>
    <cellStyle name="Normal 17 2 2 10" xfId="9315" xr:uid="{00000000-0005-0000-0000-0000031C0000}"/>
    <cellStyle name="Normal 17 2 2 11" xfId="9316" xr:uid="{00000000-0005-0000-0000-0000041C0000}"/>
    <cellStyle name="Normal 17 2 2 12" xfId="9317" xr:uid="{00000000-0005-0000-0000-0000051C0000}"/>
    <cellStyle name="Normal 17 2 2 13" xfId="9318" xr:uid="{00000000-0005-0000-0000-0000061C0000}"/>
    <cellStyle name="Normal 17 2 2 2" xfId="9319" xr:uid="{00000000-0005-0000-0000-0000071C0000}"/>
    <cellStyle name="Normal 17 2 2 2 10" xfId="9320" xr:uid="{00000000-0005-0000-0000-0000081C0000}"/>
    <cellStyle name="Normal 17 2 2 2 11" xfId="9321" xr:uid="{00000000-0005-0000-0000-0000091C0000}"/>
    <cellStyle name="Normal 17 2 2 2 12" xfId="9322" xr:uid="{00000000-0005-0000-0000-00000A1C0000}"/>
    <cellStyle name="Normal 17 2 2 2 2" xfId="9323" xr:uid="{00000000-0005-0000-0000-00000B1C0000}"/>
    <cellStyle name="Normal 17 2 2 2 2 2" xfId="9324" xr:uid="{00000000-0005-0000-0000-00000C1C0000}"/>
    <cellStyle name="Normal 17 2 2 2 2 2 2" xfId="9325" xr:uid="{00000000-0005-0000-0000-00000D1C0000}"/>
    <cellStyle name="Normal 17 2 2 2 2 2 3" xfId="9326" xr:uid="{00000000-0005-0000-0000-00000E1C0000}"/>
    <cellStyle name="Normal 17 2 2 2 2 3" xfId="9327" xr:uid="{00000000-0005-0000-0000-00000F1C0000}"/>
    <cellStyle name="Normal 17 2 2 2 2 3 2" xfId="9328" xr:uid="{00000000-0005-0000-0000-0000101C0000}"/>
    <cellStyle name="Normal 17 2 2 2 2 4" xfId="9329" xr:uid="{00000000-0005-0000-0000-0000111C0000}"/>
    <cellStyle name="Normal 17 2 2 2 2 5" xfId="9330" xr:uid="{00000000-0005-0000-0000-0000121C0000}"/>
    <cellStyle name="Normal 17 2 2 2 2 6" xfId="9331" xr:uid="{00000000-0005-0000-0000-0000131C0000}"/>
    <cellStyle name="Normal 17 2 2 2 2 7" xfId="9332" xr:uid="{00000000-0005-0000-0000-0000141C0000}"/>
    <cellStyle name="Normal 17 2 2 2 2 8" xfId="9333" xr:uid="{00000000-0005-0000-0000-0000151C0000}"/>
    <cellStyle name="Normal 17 2 2 2 2 9" xfId="9334" xr:uid="{00000000-0005-0000-0000-0000161C0000}"/>
    <cellStyle name="Normal 17 2 2 2 3" xfId="9335" xr:uid="{00000000-0005-0000-0000-0000171C0000}"/>
    <cellStyle name="Normal 17 2 2 2 3 2" xfId="9336" xr:uid="{00000000-0005-0000-0000-0000181C0000}"/>
    <cellStyle name="Normal 17 2 2 2 3 2 2" xfId="9337" xr:uid="{00000000-0005-0000-0000-0000191C0000}"/>
    <cellStyle name="Normal 17 2 2 2 3 3" xfId="9338" xr:uid="{00000000-0005-0000-0000-00001A1C0000}"/>
    <cellStyle name="Normal 17 2 2 2 3 4" xfId="9339" xr:uid="{00000000-0005-0000-0000-00001B1C0000}"/>
    <cellStyle name="Normal 17 2 2 2 4" xfId="9340" xr:uid="{00000000-0005-0000-0000-00001C1C0000}"/>
    <cellStyle name="Normal 17 2 2 2 4 2" xfId="9341" xr:uid="{00000000-0005-0000-0000-00001D1C0000}"/>
    <cellStyle name="Normal 17 2 2 2 5" xfId="9342" xr:uid="{00000000-0005-0000-0000-00001E1C0000}"/>
    <cellStyle name="Normal 17 2 2 2 5 2" xfId="9343" xr:uid="{00000000-0005-0000-0000-00001F1C0000}"/>
    <cellStyle name="Normal 17 2 2 2 6" xfId="9344" xr:uid="{00000000-0005-0000-0000-0000201C0000}"/>
    <cellStyle name="Normal 17 2 2 2 6 2" xfId="9345" xr:uid="{00000000-0005-0000-0000-0000211C0000}"/>
    <cellStyle name="Normal 17 2 2 2 7" xfId="9346" xr:uid="{00000000-0005-0000-0000-0000221C0000}"/>
    <cellStyle name="Normal 17 2 2 2 8" xfId="9347" xr:uid="{00000000-0005-0000-0000-0000231C0000}"/>
    <cellStyle name="Normal 17 2 2 2 9" xfId="9348" xr:uid="{00000000-0005-0000-0000-0000241C0000}"/>
    <cellStyle name="Normal 17 2 2 3" xfId="9349" xr:uid="{00000000-0005-0000-0000-0000251C0000}"/>
    <cellStyle name="Normal 17 2 2 3 2" xfId="9350" xr:uid="{00000000-0005-0000-0000-0000261C0000}"/>
    <cellStyle name="Normal 17 2 2 3 2 2" xfId="9351" xr:uid="{00000000-0005-0000-0000-0000271C0000}"/>
    <cellStyle name="Normal 17 2 2 3 2 3" xfId="9352" xr:uid="{00000000-0005-0000-0000-0000281C0000}"/>
    <cellStyle name="Normal 17 2 2 3 3" xfId="9353" xr:uid="{00000000-0005-0000-0000-0000291C0000}"/>
    <cellStyle name="Normal 17 2 2 3 3 2" xfId="9354" xr:uid="{00000000-0005-0000-0000-00002A1C0000}"/>
    <cellStyle name="Normal 17 2 2 3 4" xfId="9355" xr:uid="{00000000-0005-0000-0000-00002B1C0000}"/>
    <cellStyle name="Normal 17 2 2 3 5" xfId="9356" xr:uid="{00000000-0005-0000-0000-00002C1C0000}"/>
    <cellStyle name="Normal 17 2 2 3 6" xfId="9357" xr:uid="{00000000-0005-0000-0000-00002D1C0000}"/>
    <cellStyle name="Normal 17 2 2 3 7" xfId="9358" xr:uid="{00000000-0005-0000-0000-00002E1C0000}"/>
    <cellStyle name="Normal 17 2 2 3 8" xfId="9359" xr:uid="{00000000-0005-0000-0000-00002F1C0000}"/>
    <cellStyle name="Normal 17 2 2 3 9" xfId="9360" xr:uid="{00000000-0005-0000-0000-0000301C0000}"/>
    <cellStyle name="Normal 17 2 2 4" xfId="9361" xr:uid="{00000000-0005-0000-0000-0000311C0000}"/>
    <cellStyle name="Normal 17 2 2 4 2" xfId="9362" xr:uid="{00000000-0005-0000-0000-0000321C0000}"/>
    <cellStyle name="Normal 17 2 2 4 2 2" xfId="9363" xr:uid="{00000000-0005-0000-0000-0000331C0000}"/>
    <cellStyle name="Normal 17 2 2 4 3" xfId="9364" xr:uid="{00000000-0005-0000-0000-0000341C0000}"/>
    <cellStyle name="Normal 17 2 2 4 4" xfId="9365" xr:uid="{00000000-0005-0000-0000-0000351C0000}"/>
    <cellStyle name="Normal 17 2 2 5" xfId="9366" xr:uid="{00000000-0005-0000-0000-0000361C0000}"/>
    <cellStyle name="Normal 17 2 2 5 2" xfId="9367" xr:uid="{00000000-0005-0000-0000-0000371C0000}"/>
    <cellStyle name="Normal 17 2 2 6" xfId="9368" xr:uid="{00000000-0005-0000-0000-0000381C0000}"/>
    <cellStyle name="Normal 17 2 2 6 2" xfId="9369" xr:uid="{00000000-0005-0000-0000-0000391C0000}"/>
    <cellStyle name="Normal 17 2 2 7" xfId="9370" xr:uid="{00000000-0005-0000-0000-00003A1C0000}"/>
    <cellStyle name="Normal 17 2 2 7 2" xfId="9371" xr:uid="{00000000-0005-0000-0000-00003B1C0000}"/>
    <cellStyle name="Normal 17 2 2 8" xfId="9372" xr:uid="{00000000-0005-0000-0000-00003C1C0000}"/>
    <cellStyle name="Normal 17 2 2 9" xfId="9373" xr:uid="{00000000-0005-0000-0000-00003D1C0000}"/>
    <cellStyle name="Normal 17 2 3" xfId="9374" xr:uid="{00000000-0005-0000-0000-00003E1C0000}"/>
    <cellStyle name="Normal 17 2 3 10" xfId="9375" xr:uid="{00000000-0005-0000-0000-00003F1C0000}"/>
    <cellStyle name="Normal 17 2 3 11" xfId="9376" xr:uid="{00000000-0005-0000-0000-0000401C0000}"/>
    <cellStyle name="Normal 17 2 3 12" xfId="9377" xr:uid="{00000000-0005-0000-0000-0000411C0000}"/>
    <cellStyle name="Normal 17 2 3 2" xfId="9378" xr:uid="{00000000-0005-0000-0000-0000421C0000}"/>
    <cellStyle name="Normal 17 2 3 2 2" xfId="9379" xr:uid="{00000000-0005-0000-0000-0000431C0000}"/>
    <cellStyle name="Normal 17 2 3 2 2 2" xfId="9380" xr:uid="{00000000-0005-0000-0000-0000441C0000}"/>
    <cellStyle name="Normal 17 2 3 2 2 3" xfId="9381" xr:uid="{00000000-0005-0000-0000-0000451C0000}"/>
    <cellStyle name="Normal 17 2 3 2 3" xfId="9382" xr:uid="{00000000-0005-0000-0000-0000461C0000}"/>
    <cellStyle name="Normal 17 2 3 2 3 2" xfId="9383" xr:uid="{00000000-0005-0000-0000-0000471C0000}"/>
    <cellStyle name="Normal 17 2 3 2 4" xfId="9384" xr:uid="{00000000-0005-0000-0000-0000481C0000}"/>
    <cellStyle name="Normal 17 2 3 2 5" xfId="9385" xr:uid="{00000000-0005-0000-0000-0000491C0000}"/>
    <cellStyle name="Normal 17 2 3 2 6" xfId="9386" xr:uid="{00000000-0005-0000-0000-00004A1C0000}"/>
    <cellStyle name="Normal 17 2 3 2 7" xfId="9387" xr:uid="{00000000-0005-0000-0000-00004B1C0000}"/>
    <cellStyle name="Normal 17 2 3 2 8" xfId="9388" xr:uid="{00000000-0005-0000-0000-00004C1C0000}"/>
    <cellStyle name="Normal 17 2 3 2 9" xfId="9389" xr:uid="{00000000-0005-0000-0000-00004D1C0000}"/>
    <cellStyle name="Normal 17 2 3 3" xfId="9390" xr:uid="{00000000-0005-0000-0000-00004E1C0000}"/>
    <cellStyle name="Normal 17 2 3 3 2" xfId="9391" xr:uid="{00000000-0005-0000-0000-00004F1C0000}"/>
    <cellStyle name="Normal 17 2 3 3 2 2" xfId="9392" xr:uid="{00000000-0005-0000-0000-0000501C0000}"/>
    <cellStyle name="Normal 17 2 3 3 3" xfId="9393" xr:uid="{00000000-0005-0000-0000-0000511C0000}"/>
    <cellStyle name="Normal 17 2 3 3 4" xfId="9394" xr:uid="{00000000-0005-0000-0000-0000521C0000}"/>
    <cellStyle name="Normal 17 2 3 4" xfId="9395" xr:uid="{00000000-0005-0000-0000-0000531C0000}"/>
    <cellStyle name="Normal 17 2 3 4 2" xfId="9396" xr:uid="{00000000-0005-0000-0000-0000541C0000}"/>
    <cellStyle name="Normal 17 2 3 5" xfId="9397" xr:uid="{00000000-0005-0000-0000-0000551C0000}"/>
    <cellStyle name="Normal 17 2 3 5 2" xfId="9398" xr:uid="{00000000-0005-0000-0000-0000561C0000}"/>
    <cellStyle name="Normal 17 2 3 6" xfId="9399" xr:uid="{00000000-0005-0000-0000-0000571C0000}"/>
    <cellStyle name="Normal 17 2 3 6 2" xfId="9400" xr:uid="{00000000-0005-0000-0000-0000581C0000}"/>
    <cellStyle name="Normal 17 2 3 7" xfId="9401" xr:uid="{00000000-0005-0000-0000-0000591C0000}"/>
    <cellStyle name="Normal 17 2 3 8" xfId="9402" xr:uid="{00000000-0005-0000-0000-00005A1C0000}"/>
    <cellStyle name="Normal 17 2 3 9" xfId="9403" xr:uid="{00000000-0005-0000-0000-00005B1C0000}"/>
    <cellStyle name="Normal 17 2 4" xfId="9404" xr:uid="{00000000-0005-0000-0000-00005C1C0000}"/>
    <cellStyle name="Normal 17 2 4 2" xfId="9405" xr:uid="{00000000-0005-0000-0000-00005D1C0000}"/>
    <cellStyle name="Normal 17 2 4 2 2" xfId="9406" xr:uid="{00000000-0005-0000-0000-00005E1C0000}"/>
    <cellStyle name="Normal 17 2 4 2 3" xfId="9407" xr:uid="{00000000-0005-0000-0000-00005F1C0000}"/>
    <cellStyle name="Normal 17 2 4 3" xfId="9408" xr:uid="{00000000-0005-0000-0000-0000601C0000}"/>
    <cellStyle name="Normal 17 2 4 3 2" xfId="9409" xr:uid="{00000000-0005-0000-0000-0000611C0000}"/>
    <cellStyle name="Normal 17 2 4 4" xfId="9410" xr:uid="{00000000-0005-0000-0000-0000621C0000}"/>
    <cellStyle name="Normal 17 2 4 5" xfId="9411" xr:uid="{00000000-0005-0000-0000-0000631C0000}"/>
    <cellStyle name="Normal 17 2 4 6" xfId="9412" xr:uid="{00000000-0005-0000-0000-0000641C0000}"/>
    <cellStyle name="Normal 17 2 4 7" xfId="9413" xr:uid="{00000000-0005-0000-0000-0000651C0000}"/>
    <cellStyle name="Normal 17 2 4 8" xfId="9414" xr:uid="{00000000-0005-0000-0000-0000661C0000}"/>
    <cellStyle name="Normal 17 2 4 9" xfId="9415" xr:uid="{00000000-0005-0000-0000-0000671C0000}"/>
    <cellStyle name="Normal 17 2 5" xfId="9416" xr:uid="{00000000-0005-0000-0000-0000681C0000}"/>
    <cellStyle name="Normal 17 2 5 2" xfId="9417" xr:uid="{00000000-0005-0000-0000-0000691C0000}"/>
    <cellStyle name="Normal 17 2 5 2 2" xfId="9418" xr:uid="{00000000-0005-0000-0000-00006A1C0000}"/>
    <cellStyle name="Normal 17 2 5 3" xfId="9419" xr:uid="{00000000-0005-0000-0000-00006B1C0000}"/>
    <cellStyle name="Normal 17 2 5 4" xfId="9420" xr:uid="{00000000-0005-0000-0000-00006C1C0000}"/>
    <cellStyle name="Normal 17 2 5 5" xfId="9421" xr:uid="{00000000-0005-0000-0000-00006D1C0000}"/>
    <cellStyle name="Normal 17 2 6" xfId="9422" xr:uid="{00000000-0005-0000-0000-00006E1C0000}"/>
    <cellStyle name="Normal 17 2 6 2" xfId="9423" xr:uid="{00000000-0005-0000-0000-00006F1C0000}"/>
    <cellStyle name="Normal 17 2 7" xfId="9424" xr:uid="{00000000-0005-0000-0000-0000701C0000}"/>
    <cellStyle name="Normal 17 2 7 2" xfId="9425" xr:uid="{00000000-0005-0000-0000-0000711C0000}"/>
    <cellStyle name="Normal 17 2 8" xfId="9426" xr:uid="{00000000-0005-0000-0000-0000721C0000}"/>
    <cellStyle name="Normal 17 2 8 2" xfId="9427" xr:uid="{00000000-0005-0000-0000-0000731C0000}"/>
    <cellStyle name="Normal 17 2 9" xfId="9428" xr:uid="{00000000-0005-0000-0000-0000741C0000}"/>
    <cellStyle name="Normal 17 3" xfId="9429" xr:uid="{00000000-0005-0000-0000-0000751C0000}"/>
    <cellStyle name="Normal 17 3 10" xfId="9430" xr:uid="{00000000-0005-0000-0000-0000761C0000}"/>
    <cellStyle name="Normal 17 3 11" xfId="9431" xr:uid="{00000000-0005-0000-0000-0000771C0000}"/>
    <cellStyle name="Normal 17 3 12" xfId="9432" xr:uid="{00000000-0005-0000-0000-0000781C0000}"/>
    <cellStyle name="Normal 17 3 13" xfId="9433" xr:uid="{00000000-0005-0000-0000-0000791C0000}"/>
    <cellStyle name="Normal 17 3 2" xfId="9434" xr:uid="{00000000-0005-0000-0000-00007A1C0000}"/>
    <cellStyle name="Normal 17 3 2 10" xfId="9435" xr:uid="{00000000-0005-0000-0000-00007B1C0000}"/>
    <cellStyle name="Normal 17 3 2 11" xfId="9436" xr:uid="{00000000-0005-0000-0000-00007C1C0000}"/>
    <cellStyle name="Normal 17 3 2 12" xfId="9437" xr:uid="{00000000-0005-0000-0000-00007D1C0000}"/>
    <cellStyle name="Normal 17 3 2 2" xfId="9438" xr:uid="{00000000-0005-0000-0000-00007E1C0000}"/>
    <cellStyle name="Normal 17 3 2 2 2" xfId="9439" xr:uid="{00000000-0005-0000-0000-00007F1C0000}"/>
    <cellStyle name="Normal 17 3 2 2 2 2" xfId="9440" xr:uid="{00000000-0005-0000-0000-0000801C0000}"/>
    <cellStyle name="Normal 17 3 2 2 2 3" xfId="9441" xr:uid="{00000000-0005-0000-0000-0000811C0000}"/>
    <cellStyle name="Normal 17 3 2 2 3" xfId="9442" xr:uid="{00000000-0005-0000-0000-0000821C0000}"/>
    <cellStyle name="Normal 17 3 2 2 3 2" xfId="9443" xr:uid="{00000000-0005-0000-0000-0000831C0000}"/>
    <cellStyle name="Normal 17 3 2 2 4" xfId="9444" xr:uid="{00000000-0005-0000-0000-0000841C0000}"/>
    <cellStyle name="Normal 17 3 2 2 5" xfId="9445" xr:uid="{00000000-0005-0000-0000-0000851C0000}"/>
    <cellStyle name="Normal 17 3 2 2 6" xfId="9446" xr:uid="{00000000-0005-0000-0000-0000861C0000}"/>
    <cellStyle name="Normal 17 3 2 2 7" xfId="9447" xr:uid="{00000000-0005-0000-0000-0000871C0000}"/>
    <cellStyle name="Normal 17 3 2 2 8" xfId="9448" xr:uid="{00000000-0005-0000-0000-0000881C0000}"/>
    <cellStyle name="Normal 17 3 2 2 9" xfId="9449" xr:uid="{00000000-0005-0000-0000-0000891C0000}"/>
    <cellStyle name="Normal 17 3 2 3" xfId="9450" xr:uid="{00000000-0005-0000-0000-00008A1C0000}"/>
    <cellStyle name="Normal 17 3 2 3 2" xfId="9451" xr:uid="{00000000-0005-0000-0000-00008B1C0000}"/>
    <cellStyle name="Normal 17 3 2 3 2 2" xfId="9452" xr:uid="{00000000-0005-0000-0000-00008C1C0000}"/>
    <cellStyle name="Normal 17 3 2 3 3" xfId="9453" xr:uid="{00000000-0005-0000-0000-00008D1C0000}"/>
    <cellStyle name="Normal 17 3 2 3 4" xfId="9454" xr:uid="{00000000-0005-0000-0000-00008E1C0000}"/>
    <cellStyle name="Normal 17 3 2 4" xfId="9455" xr:uid="{00000000-0005-0000-0000-00008F1C0000}"/>
    <cellStyle name="Normal 17 3 2 4 2" xfId="9456" xr:uid="{00000000-0005-0000-0000-0000901C0000}"/>
    <cellStyle name="Normal 17 3 2 5" xfId="9457" xr:uid="{00000000-0005-0000-0000-0000911C0000}"/>
    <cellStyle name="Normal 17 3 2 5 2" xfId="9458" xr:uid="{00000000-0005-0000-0000-0000921C0000}"/>
    <cellStyle name="Normal 17 3 2 6" xfId="9459" xr:uid="{00000000-0005-0000-0000-0000931C0000}"/>
    <cellStyle name="Normal 17 3 2 6 2" xfId="9460" xr:uid="{00000000-0005-0000-0000-0000941C0000}"/>
    <cellStyle name="Normal 17 3 2 7" xfId="9461" xr:uid="{00000000-0005-0000-0000-0000951C0000}"/>
    <cellStyle name="Normal 17 3 2 8" xfId="9462" xr:uid="{00000000-0005-0000-0000-0000961C0000}"/>
    <cellStyle name="Normal 17 3 2 9" xfId="9463" xr:uid="{00000000-0005-0000-0000-0000971C0000}"/>
    <cellStyle name="Normal 17 3 3" xfId="9464" xr:uid="{00000000-0005-0000-0000-0000981C0000}"/>
    <cellStyle name="Normal 17 3 3 2" xfId="9465" xr:uid="{00000000-0005-0000-0000-0000991C0000}"/>
    <cellStyle name="Normal 17 3 3 2 2" xfId="9466" xr:uid="{00000000-0005-0000-0000-00009A1C0000}"/>
    <cellStyle name="Normal 17 3 3 2 3" xfId="9467" xr:uid="{00000000-0005-0000-0000-00009B1C0000}"/>
    <cellStyle name="Normal 17 3 3 3" xfId="9468" xr:uid="{00000000-0005-0000-0000-00009C1C0000}"/>
    <cellStyle name="Normal 17 3 3 3 2" xfId="9469" xr:uid="{00000000-0005-0000-0000-00009D1C0000}"/>
    <cellStyle name="Normal 17 3 3 4" xfId="9470" xr:uid="{00000000-0005-0000-0000-00009E1C0000}"/>
    <cellStyle name="Normal 17 3 3 5" xfId="9471" xr:uid="{00000000-0005-0000-0000-00009F1C0000}"/>
    <cellStyle name="Normal 17 3 3 6" xfId="9472" xr:uid="{00000000-0005-0000-0000-0000A01C0000}"/>
    <cellStyle name="Normal 17 3 3 7" xfId="9473" xr:uid="{00000000-0005-0000-0000-0000A11C0000}"/>
    <cellStyle name="Normal 17 3 3 8" xfId="9474" xr:uid="{00000000-0005-0000-0000-0000A21C0000}"/>
    <cellStyle name="Normal 17 3 3 9" xfId="9475" xr:uid="{00000000-0005-0000-0000-0000A31C0000}"/>
    <cellStyle name="Normal 17 3 4" xfId="9476" xr:uid="{00000000-0005-0000-0000-0000A41C0000}"/>
    <cellStyle name="Normal 17 3 4 2" xfId="9477" xr:uid="{00000000-0005-0000-0000-0000A51C0000}"/>
    <cellStyle name="Normal 17 3 4 2 2" xfId="9478" xr:uid="{00000000-0005-0000-0000-0000A61C0000}"/>
    <cellStyle name="Normal 17 3 4 3" xfId="9479" xr:uid="{00000000-0005-0000-0000-0000A71C0000}"/>
    <cellStyle name="Normal 17 3 4 4" xfId="9480" xr:uid="{00000000-0005-0000-0000-0000A81C0000}"/>
    <cellStyle name="Normal 17 3 5" xfId="9481" xr:uid="{00000000-0005-0000-0000-0000A91C0000}"/>
    <cellStyle name="Normal 17 3 5 2" xfId="9482" xr:uid="{00000000-0005-0000-0000-0000AA1C0000}"/>
    <cellStyle name="Normal 17 3 6" xfId="9483" xr:uid="{00000000-0005-0000-0000-0000AB1C0000}"/>
    <cellStyle name="Normal 17 3 6 2" xfId="9484" xr:uid="{00000000-0005-0000-0000-0000AC1C0000}"/>
    <cellStyle name="Normal 17 3 7" xfId="9485" xr:uid="{00000000-0005-0000-0000-0000AD1C0000}"/>
    <cellStyle name="Normal 17 3 7 2" xfId="9486" xr:uid="{00000000-0005-0000-0000-0000AE1C0000}"/>
    <cellStyle name="Normal 17 3 8" xfId="9487" xr:uid="{00000000-0005-0000-0000-0000AF1C0000}"/>
    <cellStyle name="Normal 17 3 9" xfId="9488" xr:uid="{00000000-0005-0000-0000-0000B01C0000}"/>
    <cellStyle name="Normal 17 4" xfId="9489" xr:uid="{00000000-0005-0000-0000-0000B11C0000}"/>
    <cellStyle name="Normal 17 4 10" xfId="9490" xr:uid="{00000000-0005-0000-0000-0000B21C0000}"/>
    <cellStyle name="Normal 17 4 11" xfId="9491" xr:uid="{00000000-0005-0000-0000-0000B31C0000}"/>
    <cellStyle name="Normal 17 4 12" xfId="9492" xr:uid="{00000000-0005-0000-0000-0000B41C0000}"/>
    <cellStyle name="Normal 17 4 2" xfId="9493" xr:uid="{00000000-0005-0000-0000-0000B51C0000}"/>
    <cellStyle name="Normal 17 4 2 2" xfId="9494" xr:uid="{00000000-0005-0000-0000-0000B61C0000}"/>
    <cellStyle name="Normal 17 4 2 2 2" xfId="9495" xr:uid="{00000000-0005-0000-0000-0000B71C0000}"/>
    <cellStyle name="Normal 17 4 2 2 3" xfId="9496" xr:uid="{00000000-0005-0000-0000-0000B81C0000}"/>
    <cellStyle name="Normal 17 4 2 3" xfId="9497" xr:uid="{00000000-0005-0000-0000-0000B91C0000}"/>
    <cellStyle name="Normal 17 4 2 3 2" xfId="9498" xr:uid="{00000000-0005-0000-0000-0000BA1C0000}"/>
    <cellStyle name="Normal 17 4 2 4" xfId="9499" xr:uid="{00000000-0005-0000-0000-0000BB1C0000}"/>
    <cellStyle name="Normal 17 4 2 5" xfId="9500" xr:uid="{00000000-0005-0000-0000-0000BC1C0000}"/>
    <cellStyle name="Normal 17 4 2 6" xfId="9501" xr:uid="{00000000-0005-0000-0000-0000BD1C0000}"/>
    <cellStyle name="Normal 17 4 2 7" xfId="9502" xr:uid="{00000000-0005-0000-0000-0000BE1C0000}"/>
    <cellStyle name="Normal 17 4 2 8" xfId="9503" xr:uid="{00000000-0005-0000-0000-0000BF1C0000}"/>
    <cellStyle name="Normal 17 4 2 9" xfId="9504" xr:uid="{00000000-0005-0000-0000-0000C01C0000}"/>
    <cellStyle name="Normal 17 4 3" xfId="9505" xr:uid="{00000000-0005-0000-0000-0000C11C0000}"/>
    <cellStyle name="Normal 17 4 3 2" xfId="9506" xr:uid="{00000000-0005-0000-0000-0000C21C0000}"/>
    <cellStyle name="Normal 17 4 3 2 2" xfId="9507" xr:uid="{00000000-0005-0000-0000-0000C31C0000}"/>
    <cellStyle name="Normal 17 4 3 3" xfId="9508" xr:uid="{00000000-0005-0000-0000-0000C41C0000}"/>
    <cellStyle name="Normal 17 4 3 4" xfId="9509" xr:uid="{00000000-0005-0000-0000-0000C51C0000}"/>
    <cellStyle name="Normal 17 4 4" xfId="9510" xr:uid="{00000000-0005-0000-0000-0000C61C0000}"/>
    <cellStyle name="Normal 17 4 4 2" xfId="9511" xr:uid="{00000000-0005-0000-0000-0000C71C0000}"/>
    <cellStyle name="Normal 17 4 5" xfId="9512" xr:uid="{00000000-0005-0000-0000-0000C81C0000}"/>
    <cellStyle name="Normal 17 4 5 2" xfId="9513" xr:uid="{00000000-0005-0000-0000-0000C91C0000}"/>
    <cellStyle name="Normal 17 4 6" xfId="9514" xr:uid="{00000000-0005-0000-0000-0000CA1C0000}"/>
    <cellStyle name="Normal 17 4 6 2" xfId="9515" xr:uid="{00000000-0005-0000-0000-0000CB1C0000}"/>
    <cellStyle name="Normal 17 4 7" xfId="9516" xr:uid="{00000000-0005-0000-0000-0000CC1C0000}"/>
    <cellStyle name="Normal 17 4 8" xfId="9517" xr:uid="{00000000-0005-0000-0000-0000CD1C0000}"/>
    <cellStyle name="Normal 17 4 9" xfId="9518" xr:uid="{00000000-0005-0000-0000-0000CE1C0000}"/>
    <cellStyle name="Normal 17 5" xfId="9519" xr:uid="{00000000-0005-0000-0000-0000CF1C0000}"/>
    <cellStyle name="Normal 17 5 2" xfId="9520" xr:uid="{00000000-0005-0000-0000-0000D01C0000}"/>
    <cellStyle name="Normal 17 6" xfId="9521" xr:uid="{00000000-0005-0000-0000-0000D11C0000}"/>
    <cellStyle name="Normal 17 6 2" xfId="9522" xr:uid="{00000000-0005-0000-0000-0000D21C0000}"/>
    <cellStyle name="Normal 17 6 2 2" xfId="9523" xr:uid="{00000000-0005-0000-0000-0000D31C0000}"/>
    <cellStyle name="Normal 17 6 2 3" xfId="9524" xr:uid="{00000000-0005-0000-0000-0000D41C0000}"/>
    <cellStyle name="Normal 17 6 3" xfId="9525" xr:uid="{00000000-0005-0000-0000-0000D51C0000}"/>
    <cellStyle name="Normal 17 6 3 2" xfId="9526" xr:uid="{00000000-0005-0000-0000-0000D61C0000}"/>
    <cellStyle name="Normal 17 6 4" xfId="9527" xr:uid="{00000000-0005-0000-0000-0000D71C0000}"/>
    <cellStyle name="Normal 17 6 5" xfId="9528" xr:uid="{00000000-0005-0000-0000-0000D81C0000}"/>
    <cellStyle name="Normal 17 6 6" xfId="9529" xr:uid="{00000000-0005-0000-0000-0000D91C0000}"/>
    <cellStyle name="Normal 17 6 7" xfId="9530" xr:uid="{00000000-0005-0000-0000-0000DA1C0000}"/>
    <cellStyle name="Normal 17 6 8" xfId="9531" xr:uid="{00000000-0005-0000-0000-0000DB1C0000}"/>
    <cellStyle name="Normal 17 6 9" xfId="9532" xr:uid="{00000000-0005-0000-0000-0000DC1C0000}"/>
    <cellStyle name="Normal 17 7" xfId="9533" xr:uid="{00000000-0005-0000-0000-0000DD1C0000}"/>
    <cellStyle name="Normal 17 7 2" xfId="9534" xr:uid="{00000000-0005-0000-0000-0000DE1C0000}"/>
    <cellStyle name="Normal 17 7 2 2" xfId="9535" xr:uid="{00000000-0005-0000-0000-0000DF1C0000}"/>
    <cellStyle name="Normal 17 7 3" xfId="9536" xr:uid="{00000000-0005-0000-0000-0000E01C0000}"/>
    <cellStyle name="Normal 17 7 4" xfId="9537" xr:uid="{00000000-0005-0000-0000-0000E11C0000}"/>
    <cellStyle name="Normal 17 8" xfId="9538" xr:uid="{00000000-0005-0000-0000-0000E21C0000}"/>
    <cellStyle name="Normal 17 8 2" xfId="9539" xr:uid="{00000000-0005-0000-0000-0000E31C0000}"/>
    <cellStyle name="Normal 17 9" xfId="9540" xr:uid="{00000000-0005-0000-0000-0000E41C0000}"/>
    <cellStyle name="Normal 17 9 2" xfId="9541" xr:uid="{00000000-0005-0000-0000-0000E51C0000}"/>
    <cellStyle name="Normal 170" xfId="9542" xr:uid="{00000000-0005-0000-0000-0000E61C0000}"/>
    <cellStyle name="Normal 171" xfId="9543" xr:uid="{00000000-0005-0000-0000-0000E71C0000}"/>
    <cellStyle name="Normal 172" xfId="9544" xr:uid="{00000000-0005-0000-0000-0000E81C0000}"/>
    <cellStyle name="Normal 173" xfId="9545" xr:uid="{00000000-0005-0000-0000-0000E91C0000}"/>
    <cellStyle name="Normal 174" xfId="9546" xr:uid="{00000000-0005-0000-0000-0000EA1C0000}"/>
    <cellStyle name="Normal 175" xfId="9547" xr:uid="{00000000-0005-0000-0000-0000EB1C0000}"/>
    <cellStyle name="Normal 176" xfId="9548" xr:uid="{00000000-0005-0000-0000-0000EC1C0000}"/>
    <cellStyle name="Normal 177" xfId="9549" xr:uid="{00000000-0005-0000-0000-0000ED1C0000}"/>
    <cellStyle name="Normal 178" xfId="9550" xr:uid="{00000000-0005-0000-0000-0000EE1C0000}"/>
    <cellStyle name="Normal 179" xfId="9551" xr:uid="{00000000-0005-0000-0000-0000EF1C0000}"/>
    <cellStyle name="Normal 18" xfId="2988" xr:uid="{00000000-0005-0000-0000-0000F01C0000}"/>
    <cellStyle name="Normal 18 10" xfId="9552" xr:uid="{00000000-0005-0000-0000-0000F11C0000}"/>
    <cellStyle name="Normal 18 11" xfId="9553" xr:uid="{00000000-0005-0000-0000-0000F21C0000}"/>
    <cellStyle name="Normal 18 12" xfId="9554" xr:uid="{00000000-0005-0000-0000-0000F31C0000}"/>
    <cellStyle name="Normal 18 13" xfId="9555" xr:uid="{00000000-0005-0000-0000-0000F41C0000}"/>
    <cellStyle name="Normal 18 14" xfId="9556" xr:uid="{00000000-0005-0000-0000-0000F51C0000}"/>
    <cellStyle name="Normal 18 15" xfId="9557" xr:uid="{00000000-0005-0000-0000-0000F61C0000}"/>
    <cellStyle name="Normal 18 16" xfId="16882" xr:uid="{00000000-0005-0000-0000-0000F71C0000}"/>
    <cellStyle name="Normal 18 2" xfId="9558" xr:uid="{00000000-0005-0000-0000-0000F81C0000}"/>
    <cellStyle name="Normal 18 2 10" xfId="9559" xr:uid="{00000000-0005-0000-0000-0000F91C0000}"/>
    <cellStyle name="Normal 18 2 11" xfId="9560" xr:uid="{00000000-0005-0000-0000-0000FA1C0000}"/>
    <cellStyle name="Normal 18 2 12" xfId="9561" xr:uid="{00000000-0005-0000-0000-0000FB1C0000}"/>
    <cellStyle name="Normal 18 2 13" xfId="9562" xr:uid="{00000000-0005-0000-0000-0000FC1C0000}"/>
    <cellStyle name="Normal 18 2 14" xfId="9563" xr:uid="{00000000-0005-0000-0000-0000FD1C0000}"/>
    <cellStyle name="Normal 18 2 2" xfId="9564" xr:uid="{00000000-0005-0000-0000-0000FE1C0000}"/>
    <cellStyle name="Normal 18 2 2 10" xfId="9565" xr:uid="{00000000-0005-0000-0000-0000FF1C0000}"/>
    <cellStyle name="Normal 18 2 2 11" xfId="9566" xr:uid="{00000000-0005-0000-0000-0000001D0000}"/>
    <cellStyle name="Normal 18 2 2 12" xfId="9567" xr:uid="{00000000-0005-0000-0000-0000011D0000}"/>
    <cellStyle name="Normal 18 2 2 13" xfId="9568" xr:uid="{00000000-0005-0000-0000-0000021D0000}"/>
    <cellStyle name="Normal 18 2 2 2" xfId="9569" xr:uid="{00000000-0005-0000-0000-0000031D0000}"/>
    <cellStyle name="Normal 18 2 2 2 10" xfId="9570" xr:uid="{00000000-0005-0000-0000-0000041D0000}"/>
    <cellStyle name="Normal 18 2 2 2 11" xfId="9571" xr:uid="{00000000-0005-0000-0000-0000051D0000}"/>
    <cellStyle name="Normal 18 2 2 2 12" xfId="9572" xr:uid="{00000000-0005-0000-0000-0000061D0000}"/>
    <cellStyle name="Normal 18 2 2 2 2" xfId="9573" xr:uid="{00000000-0005-0000-0000-0000071D0000}"/>
    <cellStyle name="Normal 18 2 2 2 2 2" xfId="9574" xr:uid="{00000000-0005-0000-0000-0000081D0000}"/>
    <cellStyle name="Normal 18 2 2 2 2 2 2" xfId="9575" xr:uid="{00000000-0005-0000-0000-0000091D0000}"/>
    <cellStyle name="Normal 18 2 2 2 2 2 3" xfId="9576" xr:uid="{00000000-0005-0000-0000-00000A1D0000}"/>
    <cellStyle name="Normal 18 2 2 2 2 3" xfId="9577" xr:uid="{00000000-0005-0000-0000-00000B1D0000}"/>
    <cellStyle name="Normal 18 2 2 2 2 3 2" xfId="9578" xr:uid="{00000000-0005-0000-0000-00000C1D0000}"/>
    <cellStyle name="Normal 18 2 2 2 2 4" xfId="9579" xr:uid="{00000000-0005-0000-0000-00000D1D0000}"/>
    <cellStyle name="Normal 18 2 2 2 2 5" xfId="9580" xr:uid="{00000000-0005-0000-0000-00000E1D0000}"/>
    <cellStyle name="Normal 18 2 2 2 2 6" xfId="9581" xr:uid="{00000000-0005-0000-0000-00000F1D0000}"/>
    <cellStyle name="Normal 18 2 2 2 2 7" xfId="9582" xr:uid="{00000000-0005-0000-0000-0000101D0000}"/>
    <cellStyle name="Normal 18 2 2 2 2 8" xfId="9583" xr:uid="{00000000-0005-0000-0000-0000111D0000}"/>
    <cellStyle name="Normal 18 2 2 2 2 9" xfId="9584" xr:uid="{00000000-0005-0000-0000-0000121D0000}"/>
    <cellStyle name="Normal 18 2 2 2 3" xfId="9585" xr:uid="{00000000-0005-0000-0000-0000131D0000}"/>
    <cellStyle name="Normal 18 2 2 2 3 2" xfId="9586" xr:uid="{00000000-0005-0000-0000-0000141D0000}"/>
    <cellStyle name="Normal 18 2 2 2 3 2 2" xfId="9587" xr:uid="{00000000-0005-0000-0000-0000151D0000}"/>
    <cellStyle name="Normal 18 2 2 2 3 3" xfId="9588" xr:uid="{00000000-0005-0000-0000-0000161D0000}"/>
    <cellStyle name="Normal 18 2 2 2 3 4" xfId="9589" xr:uid="{00000000-0005-0000-0000-0000171D0000}"/>
    <cellStyle name="Normal 18 2 2 2 4" xfId="9590" xr:uid="{00000000-0005-0000-0000-0000181D0000}"/>
    <cellStyle name="Normal 18 2 2 2 4 2" xfId="9591" xr:uid="{00000000-0005-0000-0000-0000191D0000}"/>
    <cellStyle name="Normal 18 2 2 2 5" xfId="9592" xr:uid="{00000000-0005-0000-0000-00001A1D0000}"/>
    <cellStyle name="Normal 18 2 2 2 5 2" xfId="9593" xr:uid="{00000000-0005-0000-0000-00001B1D0000}"/>
    <cellStyle name="Normal 18 2 2 2 6" xfId="9594" xr:uid="{00000000-0005-0000-0000-00001C1D0000}"/>
    <cellStyle name="Normal 18 2 2 2 6 2" xfId="9595" xr:uid="{00000000-0005-0000-0000-00001D1D0000}"/>
    <cellStyle name="Normal 18 2 2 2 7" xfId="9596" xr:uid="{00000000-0005-0000-0000-00001E1D0000}"/>
    <cellStyle name="Normal 18 2 2 2 8" xfId="9597" xr:uid="{00000000-0005-0000-0000-00001F1D0000}"/>
    <cellStyle name="Normal 18 2 2 2 9" xfId="9598" xr:uid="{00000000-0005-0000-0000-0000201D0000}"/>
    <cellStyle name="Normal 18 2 2 3" xfId="9599" xr:uid="{00000000-0005-0000-0000-0000211D0000}"/>
    <cellStyle name="Normal 18 2 2 3 2" xfId="9600" xr:uid="{00000000-0005-0000-0000-0000221D0000}"/>
    <cellStyle name="Normal 18 2 2 3 2 2" xfId="9601" xr:uid="{00000000-0005-0000-0000-0000231D0000}"/>
    <cellStyle name="Normal 18 2 2 3 2 3" xfId="9602" xr:uid="{00000000-0005-0000-0000-0000241D0000}"/>
    <cellStyle name="Normal 18 2 2 3 3" xfId="9603" xr:uid="{00000000-0005-0000-0000-0000251D0000}"/>
    <cellStyle name="Normal 18 2 2 3 3 2" xfId="9604" xr:uid="{00000000-0005-0000-0000-0000261D0000}"/>
    <cellStyle name="Normal 18 2 2 3 4" xfId="9605" xr:uid="{00000000-0005-0000-0000-0000271D0000}"/>
    <cellStyle name="Normal 18 2 2 3 5" xfId="9606" xr:uid="{00000000-0005-0000-0000-0000281D0000}"/>
    <cellStyle name="Normal 18 2 2 3 6" xfId="9607" xr:uid="{00000000-0005-0000-0000-0000291D0000}"/>
    <cellStyle name="Normal 18 2 2 3 7" xfId="9608" xr:uid="{00000000-0005-0000-0000-00002A1D0000}"/>
    <cellStyle name="Normal 18 2 2 3 8" xfId="9609" xr:uid="{00000000-0005-0000-0000-00002B1D0000}"/>
    <cellStyle name="Normal 18 2 2 3 9" xfId="9610" xr:uid="{00000000-0005-0000-0000-00002C1D0000}"/>
    <cellStyle name="Normal 18 2 2 4" xfId="9611" xr:uid="{00000000-0005-0000-0000-00002D1D0000}"/>
    <cellStyle name="Normal 18 2 2 4 2" xfId="9612" xr:uid="{00000000-0005-0000-0000-00002E1D0000}"/>
    <cellStyle name="Normal 18 2 2 4 2 2" xfId="9613" xr:uid="{00000000-0005-0000-0000-00002F1D0000}"/>
    <cellStyle name="Normal 18 2 2 4 3" xfId="9614" xr:uid="{00000000-0005-0000-0000-0000301D0000}"/>
    <cellStyle name="Normal 18 2 2 4 4" xfId="9615" xr:uid="{00000000-0005-0000-0000-0000311D0000}"/>
    <cellStyle name="Normal 18 2 2 5" xfId="9616" xr:uid="{00000000-0005-0000-0000-0000321D0000}"/>
    <cellStyle name="Normal 18 2 2 5 2" xfId="9617" xr:uid="{00000000-0005-0000-0000-0000331D0000}"/>
    <cellStyle name="Normal 18 2 2 6" xfId="9618" xr:uid="{00000000-0005-0000-0000-0000341D0000}"/>
    <cellStyle name="Normal 18 2 2 6 2" xfId="9619" xr:uid="{00000000-0005-0000-0000-0000351D0000}"/>
    <cellStyle name="Normal 18 2 2 7" xfId="9620" xr:uid="{00000000-0005-0000-0000-0000361D0000}"/>
    <cellStyle name="Normal 18 2 2 7 2" xfId="9621" xr:uid="{00000000-0005-0000-0000-0000371D0000}"/>
    <cellStyle name="Normal 18 2 2 8" xfId="9622" xr:uid="{00000000-0005-0000-0000-0000381D0000}"/>
    <cellStyle name="Normal 18 2 2 9" xfId="9623" xr:uid="{00000000-0005-0000-0000-0000391D0000}"/>
    <cellStyle name="Normal 18 2 3" xfId="9624" xr:uid="{00000000-0005-0000-0000-00003A1D0000}"/>
    <cellStyle name="Normal 18 2 3 10" xfId="9625" xr:uid="{00000000-0005-0000-0000-00003B1D0000}"/>
    <cellStyle name="Normal 18 2 3 11" xfId="9626" xr:uid="{00000000-0005-0000-0000-00003C1D0000}"/>
    <cellStyle name="Normal 18 2 3 12" xfId="9627" xr:uid="{00000000-0005-0000-0000-00003D1D0000}"/>
    <cellStyle name="Normal 18 2 3 2" xfId="9628" xr:uid="{00000000-0005-0000-0000-00003E1D0000}"/>
    <cellStyle name="Normal 18 2 3 2 2" xfId="9629" xr:uid="{00000000-0005-0000-0000-00003F1D0000}"/>
    <cellStyle name="Normal 18 2 3 2 2 2" xfId="9630" xr:uid="{00000000-0005-0000-0000-0000401D0000}"/>
    <cellStyle name="Normal 18 2 3 2 2 3" xfId="9631" xr:uid="{00000000-0005-0000-0000-0000411D0000}"/>
    <cellStyle name="Normal 18 2 3 2 3" xfId="9632" xr:uid="{00000000-0005-0000-0000-0000421D0000}"/>
    <cellStyle name="Normal 18 2 3 2 3 2" xfId="9633" xr:uid="{00000000-0005-0000-0000-0000431D0000}"/>
    <cellStyle name="Normal 18 2 3 2 4" xfId="9634" xr:uid="{00000000-0005-0000-0000-0000441D0000}"/>
    <cellStyle name="Normal 18 2 3 2 5" xfId="9635" xr:uid="{00000000-0005-0000-0000-0000451D0000}"/>
    <cellStyle name="Normal 18 2 3 2 6" xfId="9636" xr:uid="{00000000-0005-0000-0000-0000461D0000}"/>
    <cellStyle name="Normal 18 2 3 2 7" xfId="9637" xr:uid="{00000000-0005-0000-0000-0000471D0000}"/>
    <cellStyle name="Normal 18 2 3 2 8" xfId="9638" xr:uid="{00000000-0005-0000-0000-0000481D0000}"/>
    <cellStyle name="Normal 18 2 3 2 9" xfId="9639" xr:uid="{00000000-0005-0000-0000-0000491D0000}"/>
    <cellStyle name="Normal 18 2 3 3" xfId="9640" xr:uid="{00000000-0005-0000-0000-00004A1D0000}"/>
    <cellStyle name="Normal 18 2 3 3 2" xfId="9641" xr:uid="{00000000-0005-0000-0000-00004B1D0000}"/>
    <cellStyle name="Normal 18 2 3 3 2 2" xfId="9642" xr:uid="{00000000-0005-0000-0000-00004C1D0000}"/>
    <cellStyle name="Normal 18 2 3 3 3" xfId="9643" xr:uid="{00000000-0005-0000-0000-00004D1D0000}"/>
    <cellStyle name="Normal 18 2 3 3 4" xfId="9644" xr:uid="{00000000-0005-0000-0000-00004E1D0000}"/>
    <cellStyle name="Normal 18 2 3 4" xfId="9645" xr:uid="{00000000-0005-0000-0000-00004F1D0000}"/>
    <cellStyle name="Normal 18 2 3 4 2" xfId="9646" xr:uid="{00000000-0005-0000-0000-0000501D0000}"/>
    <cellStyle name="Normal 18 2 3 5" xfId="9647" xr:uid="{00000000-0005-0000-0000-0000511D0000}"/>
    <cellStyle name="Normal 18 2 3 5 2" xfId="9648" xr:uid="{00000000-0005-0000-0000-0000521D0000}"/>
    <cellStyle name="Normal 18 2 3 6" xfId="9649" xr:uid="{00000000-0005-0000-0000-0000531D0000}"/>
    <cellStyle name="Normal 18 2 3 6 2" xfId="9650" xr:uid="{00000000-0005-0000-0000-0000541D0000}"/>
    <cellStyle name="Normal 18 2 3 7" xfId="9651" xr:uid="{00000000-0005-0000-0000-0000551D0000}"/>
    <cellStyle name="Normal 18 2 3 8" xfId="9652" xr:uid="{00000000-0005-0000-0000-0000561D0000}"/>
    <cellStyle name="Normal 18 2 3 9" xfId="9653" xr:uid="{00000000-0005-0000-0000-0000571D0000}"/>
    <cellStyle name="Normal 18 2 4" xfId="9654" xr:uid="{00000000-0005-0000-0000-0000581D0000}"/>
    <cellStyle name="Normal 18 2 4 2" xfId="9655" xr:uid="{00000000-0005-0000-0000-0000591D0000}"/>
    <cellStyle name="Normal 18 2 4 2 2" xfId="9656" xr:uid="{00000000-0005-0000-0000-00005A1D0000}"/>
    <cellStyle name="Normal 18 2 4 2 3" xfId="9657" xr:uid="{00000000-0005-0000-0000-00005B1D0000}"/>
    <cellStyle name="Normal 18 2 4 3" xfId="9658" xr:uid="{00000000-0005-0000-0000-00005C1D0000}"/>
    <cellStyle name="Normal 18 2 4 3 2" xfId="9659" xr:uid="{00000000-0005-0000-0000-00005D1D0000}"/>
    <cellStyle name="Normal 18 2 4 4" xfId="9660" xr:uid="{00000000-0005-0000-0000-00005E1D0000}"/>
    <cellStyle name="Normal 18 2 4 5" xfId="9661" xr:uid="{00000000-0005-0000-0000-00005F1D0000}"/>
    <cellStyle name="Normal 18 2 4 6" xfId="9662" xr:uid="{00000000-0005-0000-0000-0000601D0000}"/>
    <cellStyle name="Normal 18 2 4 7" xfId="9663" xr:uid="{00000000-0005-0000-0000-0000611D0000}"/>
    <cellStyle name="Normal 18 2 4 8" xfId="9664" xr:uid="{00000000-0005-0000-0000-0000621D0000}"/>
    <cellStyle name="Normal 18 2 4 9" xfId="9665" xr:uid="{00000000-0005-0000-0000-0000631D0000}"/>
    <cellStyle name="Normal 18 2 5" xfId="9666" xr:uid="{00000000-0005-0000-0000-0000641D0000}"/>
    <cellStyle name="Normal 18 2 5 2" xfId="9667" xr:uid="{00000000-0005-0000-0000-0000651D0000}"/>
    <cellStyle name="Normal 18 2 5 2 2" xfId="9668" xr:uid="{00000000-0005-0000-0000-0000661D0000}"/>
    <cellStyle name="Normal 18 2 5 3" xfId="9669" xr:uid="{00000000-0005-0000-0000-0000671D0000}"/>
    <cellStyle name="Normal 18 2 5 4" xfId="9670" xr:uid="{00000000-0005-0000-0000-0000681D0000}"/>
    <cellStyle name="Normal 18 2 5 5" xfId="9671" xr:uid="{00000000-0005-0000-0000-0000691D0000}"/>
    <cellStyle name="Normal 18 2 6" xfId="9672" xr:uid="{00000000-0005-0000-0000-00006A1D0000}"/>
    <cellStyle name="Normal 18 2 6 2" xfId="9673" xr:uid="{00000000-0005-0000-0000-00006B1D0000}"/>
    <cellStyle name="Normal 18 2 7" xfId="9674" xr:uid="{00000000-0005-0000-0000-00006C1D0000}"/>
    <cellStyle name="Normal 18 2 7 2" xfId="9675" xr:uid="{00000000-0005-0000-0000-00006D1D0000}"/>
    <cellStyle name="Normal 18 2 8" xfId="9676" xr:uid="{00000000-0005-0000-0000-00006E1D0000}"/>
    <cellStyle name="Normal 18 2 8 2" xfId="9677" xr:uid="{00000000-0005-0000-0000-00006F1D0000}"/>
    <cellStyle name="Normal 18 2 9" xfId="9678" xr:uid="{00000000-0005-0000-0000-0000701D0000}"/>
    <cellStyle name="Normal 18 3" xfId="9679" xr:uid="{00000000-0005-0000-0000-0000711D0000}"/>
    <cellStyle name="Normal 18 3 10" xfId="9680" xr:uid="{00000000-0005-0000-0000-0000721D0000}"/>
    <cellStyle name="Normal 18 3 11" xfId="9681" xr:uid="{00000000-0005-0000-0000-0000731D0000}"/>
    <cellStyle name="Normal 18 3 12" xfId="9682" xr:uid="{00000000-0005-0000-0000-0000741D0000}"/>
    <cellStyle name="Normal 18 3 13" xfId="9683" xr:uid="{00000000-0005-0000-0000-0000751D0000}"/>
    <cellStyle name="Normal 18 3 2" xfId="9684" xr:uid="{00000000-0005-0000-0000-0000761D0000}"/>
    <cellStyle name="Normal 18 3 2 10" xfId="9685" xr:uid="{00000000-0005-0000-0000-0000771D0000}"/>
    <cellStyle name="Normal 18 3 2 11" xfId="9686" xr:uid="{00000000-0005-0000-0000-0000781D0000}"/>
    <cellStyle name="Normal 18 3 2 12" xfId="9687" xr:uid="{00000000-0005-0000-0000-0000791D0000}"/>
    <cellStyle name="Normal 18 3 2 2" xfId="9688" xr:uid="{00000000-0005-0000-0000-00007A1D0000}"/>
    <cellStyle name="Normal 18 3 2 2 2" xfId="9689" xr:uid="{00000000-0005-0000-0000-00007B1D0000}"/>
    <cellStyle name="Normal 18 3 2 2 2 2" xfId="9690" xr:uid="{00000000-0005-0000-0000-00007C1D0000}"/>
    <cellStyle name="Normal 18 3 2 2 2 3" xfId="9691" xr:uid="{00000000-0005-0000-0000-00007D1D0000}"/>
    <cellStyle name="Normal 18 3 2 2 3" xfId="9692" xr:uid="{00000000-0005-0000-0000-00007E1D0000}"/>
    <cellStyle name="Normal 18 3 2 2 3 2" xfId="9693" xr:uid="{00000000-0005-0000-0000-00007F1D0000}"/>
    <cellStyle name="Normal 18 3 2 2 4" xfId="9694" xr:uid="{00000000-0005-0000-0000-0000801D0000}"/>
    <cellStyle name="Normal 18 3 2 2 5" xfId="9695" xr:uid="{00000000-0005-0000-0000-0000811D0000}"/>
    <cellStyle name="Normal 18 3 2 2 6" xfId="9696" xr:uid="{00000000-0005-0000-0000-0000821D0000}"/>
    <cellStyle name="Normal 18 3 2 2 7" xfId="9697" xr:uid="{00000000-0005-0000-0000-0000831D0000}"/>
    <cellStyle name="Normal 18 3 2 2 8" xfId="9698" xr:uid="{00000000-0005-0000-0000-0000841D0000}"/>
    <cellStyle name="Normal 18 3 2 2 9" xfId="9699" xr:uid="{00000000-0005-0000-0000-0000851D0000}"/>
    <cellStyle name="Normal 18 3 2 3" xfId="9700" xr:uid="{00000000-0005-0000-0000-0000861D0000}"/>
    <cellStyle name="Normal 18 3 2 3 2" xfId="9701" xr:uid="{00000000-0005-0000-0000-0000871D0000}"/>
    <cellStyle name="Normal 18 3 2 3 2 2" xfId="9702" xr:uid="{00000000-0005-0000-0000-0000881D0000}"/>
    <cellStyle name="Normal 18 3 2 3 3" xfId="9703" xr:uid="{00000000-0005-0000-0000-0000891D0000}"/>
    <cellStyle name="Normal 18 3 2 3 4" xfId="9704" xr:uid="{00000000-0005-0000-0000-00008A1D0000}"/>
    <cellStyle name="Normal 18 3 2 4" xfId="9705" xr:uid="{00000000-0005-0000-0000-00008B1D0000}"/>
    <cellStyle name="Normal 18 3 2 4 2" xfId="9706" xr:uid="{00000000-0005-0000-0000-00008C1D0000}"/>
    <cellStyle name="Normal 18 3 2 5" xfId="9707" xr:uid="{00000000-0005-0000-0000-00008D1D0000}"/>
    <cellStyle name="Normal 18 3 2 5 2" xfId="9708" xr:uid="{00000000-0005-0000-0000-00008E1D0000}"/>
    <cellStyle name="Normal 18 3 2 6" xfId="9709" xr:uid="{00000000-0005-0000-0000-00008F1D0000}"/>
    <cellStyle name="Normal 18 3 2 6 2" xfId="9710" xr:uid="{00000000-0005-0000-0000-0000901D0000}"/>
    <cellStyle name="Normal 18 3 2 7" xfId="9711" xr:uid="{00000000-0005-0000-0000-0000911D0000}"/>
    <cellStyle name="Normal 18 3 2 8" xfId="9712" xr:uid="{00000000-0005-0000-0000-0000921D0000}"/>
    <cellStyle name="Normal 18 3 2 9" xfId="9713" xr:uid="{00000000-0005-0000-0000-0000931D0000}"/>
    <cellStyle name="Normal 18 3 3" xfId="9714" xr:uid="{00000000-0005-0000-0000-0000941D0000}"/>
    <cellStyle name="Normal 18 3 3 2" xfId="9715" xr:uid="{00000000-0005-0000-0000-0000951D0000}"/>
    <cellStyle name="Normal 18 3 3 2 2" xfId="9716" xr:uid="{00000000-0005-0000-0000-0000961D0000}"/>
    <cellStyle name="Normal 18 3 3 2 3" xfId="9717" xr:uid="{00000000-0005-0000-0000-0000971D0000}"/>
    <cellStyle name="Normal 18 3 3 3" xfId="9718" xr:uid="{00000000-0005-0000-0000-0000981D0000}"/>
    <cellStyle name="Normal 18 3 3 3 2" xfId="9719" xr:uid="{00000000-0005-0000-0000-0000991D0000}"/>
    <cellStyle name="Normal 18 3 3 4" xfId="9720" xr:uid="{00000000-0005-0000-0000-00009A1D0000}"/>
    <cellStyle name="Normal 18 3 3 5" xfId="9721" xr:uid="{00000000-0005-0000-0000-00009B1D0000}"/>
    <cellStyle name="Normal 18 3 3 6" xfId="9722" xr:uid="{00000000-0005-0000-0000-00009C1D0000}"/>
    <cellStyle name="Normal 18 3 3 7" xfId="9723" xr:uid="{00000000-0005-0000-0000-00009D1D0000}"/>
    <cellStyle name="Normal 18 3 3 8" xfId="9724" xr:uid="{00000000-0005-0000-0000-00009E1D0000}"/>
    <cellStyle name="Normal 18 3 3 9" xfId="9725" xr:uid="{00000000-0005-0000-0000-00009F1D0000}"/>
    <cellStyle name="Normal 18 3 4" xfId="9726" xr:uid="{00000000-0005-0000-0000-0000A01D0000}"/>
    <cellStyle name="Normal 18 3 4 2" xfId="9727" xr:uid="{00000000-0005-0000-0000-0000A11D0000}"/>
    <cellStyle name="Normal 18 3 4 2 2" xfId="9728" xr:uid="{00000000-0005-0000-0000-0000A21D0000}"/>
    <cellStyle name="Normal 18 3 4 3" xfId="9729" xr:uid="{00000000-0005-0000-0000-0000A31D0000}"/>
    <cellStyle name="Normal 18 3 4 4" xfId="9730" xr:uid="{00000000-0005-0000-0000-0000A41D0000}"/>
    <cellStyle name="Normal 18 3 5" xfId="9731" xr:uid="{00000000-0005-0000-0000-0000A51D0000}"/>
    <cellStyle name="Normal 18 3 5 2" xfId="9732" xr:uid="{00000000-0005-0000-0000-0000A61D0000}"/>
    <cellStyle name="Normal 18 3 6" xfId="9733" xr:uid="{00000000-0005-0000-0000-0000A71D0000}"/>
    <cellStyle name="Normal 18 3 6 2" xfId="9734" xr:uid="{00000000-0005-0000-0000-0000A81D0000}"/>
    <cellStyle name="Normal 18 3 7" xfId="9735" xr:uid="{00000000-0005-0000-0000-0000A91D0000}"/>
    <cellStyle name="Normal 18 3 7 2" xfId="9736" xr:uid="{00000000-0005-0000-0000-0000AA1D0000}"/>
    <cellStyle name="Normal 18 3 8" xfId="9737" xr:uid="{00000000-0005-0000-0000-0000AB1D0000}"/>
    <cellStyle name="Normal 18 3 9" xfId="9738" xr:uid="{00000000-0005-0000-0000-0000AC1D0000}"/>
    <cellStyle name="Normal 18 4" xfId="9739" xr:uid="{00000000-0005-0000-0000-0000AD1D0000}"/>
    <cellStyle name="Normal 18 4 10" xfId="9740" xr:uid="{00000000-0005-0000-0000-0000AE1D0000}"/>
    <cellStyle name="Normal 18 4 11" xfId="9741" xr:uid="{00000000-0005-0000-0000-0000AF1D0000}"/>
    <cellStyle name="Normal 18 4 12" xfId="9742" xr:uid="{00000000-0005-0000-0000-0000B01D0000}"/>
    <cellStyle name="Normal 18 4 2" xfId="9743" xr:uid="{00000000-0005-0000-0000-0000B11D0000}"/>
    <cellStyle name="Normal 18 4 2 2" xfId="9744" xr:uid="{00000000-0005-0000-0000-0000B21D0000}"/>
    <cellStyle name="Normal 18 4 2 2 2" xfId="9745" xr:uid="{00000000-0005-0000-0000-0000B31D0000}"/>
    <cellStyle name="Normal 18 4 2 2 3" xfId="9746" xr:uid="{00000000-0005-0000-0000-0000B41D0000}"/>
    <cellStyle name="Normal 18 4 2 3" xfId="9747" xr:uid="{00000000-0005-0000-0000-0000B51D0000}"/>
    <cellStyle name="Normal 18 4 2 3 2" xfId="9748" xr:uid="{00000000-0005-0000-0000-0000B61D0000}"/>
    <cellStyle name="Normal 18 4 2 4" xfId="9749" xr:uid="{00000000-0005-0000-0000-0000B71D0000}"/>
    <cellStyle name="Normal 18 4 2 5" xfId="9750" xr:uid="{00000000-0005-0000-0000-0000B81D0000}"/>
    <cellStyle name="Normal 18 4 2 6" xfId="9751" xr:uid="{00000000-0005-0000-0000-0000B91D0000}"/>
    <cellStyle name="Normal 18 4 2 7" xfId="9752" xr:uid="{00000000-0005-0000-0000-0000BA1D0000}"/>
    <cellStyle name="Normal 18 4 2 8" xfId="9753" xr:uid="{00000000-0005-0000-0000-0000BB1D0000}"/>
    <cellStyle name="Normal 18 4 2 9" xfId="9754" xr:uid="{00000000-0005-0000-0000-0000BC1D0000}"/>
    <cellStyle name="Normal 18 4 3" xfId="9755" xr:uid="{00000000-0005-0000-0000-0000BD1D0000}"/>
    <cellStyle name="Normal 18 4 3 2" xfId="9756" xr:uid="{00000000-0005-0000-0000-0000BE1D0000}"/>
    <cellStyle name="Normal 18 4 3 2 2" xfId="9757" xr:uid="{00000000-0005-0000-0000-0000BF1D0000}"/>
    <cellStyle name="Normal 18 4 3 3" xfId="9758" xr:uid="{00000000-0005-0000-0000-0000C01D0000}"/>
    <cellStyle name="Normal 18 4 3 4" xfId="9759" xr:uid="{00000000-0005-0000-0000-0000C11D0000}"/>
    <cellStyle name="Normal 18 4 4" xfId="9760" xr:uid="{00000000-0005-0000-0000-0000C21D0000}"/>
    <cellStyle name="Normal 18 4 4 2" xfId="9761" xr:uid="{00000000-0005-0000-0000-0000C31D0000}"/>
    <cellStyle name="Normal 18 4 5" xfId="9762" xr:uid="{00000000-0005-0000-0000-0000C41D0000}"/>
    <cellStyle name="Normal 18 4 5 2" xfId="9763" xr:uid="{00000000-0005-0000-0000-0000C51D0000}"/>
    <cellStyle name="Normal 18 4 6" xfId="9764" xr:uid="{00000000-0005-0000-0000-0000C61D0000}"/>
    <cellStyle name="Normal 18 4 6 2" xfId="9765" xr:uid="{00000000-0005-0000-0000-0000C71D0000}"/>
    <cellStyle name="Normal 18 4 7" xfId="9766" xr:uid="{00000000-0005-0000-0000-0000C81D0000}"/>
    <cellStyle name="Normal 18 4 8" xfId="9767" xr:uid="{00000000-0005-0000-0000-0000C91D0000}"/>
    <cellStyle name="Normal 18 4 9" xfId="9768" xr:uid="{00000000-0005-0000-0000-0000CA1D0000}"/>
    <cellStyle name="Normal 18 5" xfId="9769" xr:uid="{00000000-0005-0000-0000-0000CB1D0000}"/>
    <cellStyle name="Normal 18 5 2" xfId="9770" xr:uid="{00000000-0005-0000-0000-0000CC1D0000}"/>
    <cellStyle name="Normal 18 5 2 2" xfId="9771" xr:uid="{00000000-0005-0000-0000-0000CD1D0000}"/>
    <cellStyle name="Normal 18 5 2 3" xfId="9772" xr:uid="{00000000-0005-0000-0000-0000CE1D0000}"/>
    <cellStyle name="Normal 18 5 3" xfId="9773" xr:uid="{00000000-0005-0000-0000-0000CF1D0000}"/>
    <cellStyle name="Normal 18 5 3 2" xfId="9774" xr:uid="{00000000-0005-0000-0000-0000D01D0000}"/>
    <cellStyle name="Normal 18 5 4" xfId="9775" xr:uid="{00000000-0005-0000-0000-0000D11D0000}"/>
    <cellStyle name="Normal 18 5 5" xfId="9776" xr:uid="{00000000-0005-0000-0000-0000D21D0000}"/>
    <cellStyle name="Normal 18 5 6" xfId="9777" xr:uid="{00000000-0005-0000-0000-0000D31D0000}"/>
    <cellStyle name="Normal 18 5 7" xfId="9778" xr:uid="{00000000-0005-0000-0000-0000D41D0000}"/>
    <cellStyle name="Normal 18 5 8" xfId="9779" xr:uid="{00000000-0005-0000-0000-0000D51D0000}"/>
    <cellStyle name="Normal 18 5 9" xfId="9780" xr:uid="{00000000-0005-0000-0000-0000D61D0000}"/>
    <cellStyle name="Normal 18 6" xfId="9781" xr:uid="{00000000-0005-0000-0000-0000D71D0000}"/>
    <cellStyle name="Normal 18 6 2" xfId="9782" xr:uid="{00000000-0005-0000-0000-0000D81D0000}"/>
    <cellStyle name="Normal 18 6 2 2" xfId="9783" xr:uid="{00000000-0005-0000-0000-0000D91D0000}"/>
    <cellStyle name="Normal 18 6 3" xfId="9784" xr:uid="{00000000-0005-0000-0000-0000DA1D0000}"/>
    <cellStyle name="Normal 18 6 4" xfId="9785" xr:uid="{00000000-0005-0000-0000-0000DB1D0000}"/>
    <cellStyle name="Normal 18 6 5" xfId="9786" xr:uid="{00000000-0005-0000-0000-0000DC1D0000}"/>
    <cellStyle name="Normal 18 7" xfId="9787" xr:uid="{00000000-0005-0000-0000-0000DD1D0000}"/>
    <cellStyle name="Normal 18 7 2" xfId="9788" xr:uid="{00000000-0005-0000-0000-0000DE1D0000}"/>
    <cellStyle name="Normal 18 8" xfId="9789" xr:uid="{00000000-0005-0000-0000-0000DF1D0000}"/>
    <cellStyle name="Normal 18 8 2" xfId="9790" xr:uid="{00000000-0005-0000-0000-0000E01D0000}"/>
    <cellStyle name="Normal 18 9" xfId="9791" xr:uid="{00000000-0005-0000-0000-0000E11D0000}"/>
    <cellStyle name="Normal 18 9 2" xfId="9792" xr:uid="{00000000-0005-0000-0000-0000E21D0000}"/>
    <cellStyle name="Normal 180" xfId="9793" xr:uid="{00000000-0005-0000-0000-0000E31D0000}"/>
    <cellStyle name="Normal 181" xfId="9794" xr:uid="{00000000-0005-0000-0000-0000E41D0000}"/>
    <cellStyle name="Normal 182" xfId="9795" xr:uid="{00000000-0005-0000-0000-0000E51D0000}"/>
    <cellStyle name="Normal 183" xfId="9796" xr:uid="{00000000-0005-0000-0000-0000E61D0000}"/>
    <cellStyle name="Normal 184" xfId="9797" xr:uid="{00000000-0005-0000-0000-0000E71D0000}"/>
    <cellStyle name="Normal 185" xfId="9798" xr:uid="{00000000-0005-0000-0000-0000E81D0000}"/>
    <cellStyle name="Normal 186" xfId="9799" xr:uid="{00000000-0005-0000-0000-0000E91D0000}"/>
    <cellStyle name="Normal 187" xfId="9800" xr:uid="{00000000-0005-0000-0000-0000EA1D0000}"/>
    <cellStyle name="Normal 188" xfId="9801" xr:uid="{00000000-0005-0000-0000-0000EB1D0000}"/>
    <cellStyle name="Normal 189" xfId="9802" xr:uid="{00000000-0005-0000-0000-0000EC1D0000}"/>
    <cellStyle name="Normal 19" xfId="3225" xr:uid="{00000000-0005-0000-0000-0000ED1D0000}"/>
    <cellStyle name="Normal 19 2" xfId="9803" xr:uid="{00000000-0005-0000-0000-0000EE1D0000}"/>
    <cellStyle name="Normal 19 2 2" xfId="9804" xr:uid="{00000000-0005-0000-0000-0000EF1D0000}"/>
    <cellStyle name="Normal 19 2 2 2" xfId="9805" xr:uid="{00000000-0005-0000-0000-0000F01D0000}"/>
    <cellStyle name="Normal 19 2 2 2 2" xfId="9806" xr:uid="{00000000-0005-0000-0000-0000F11D0000}"/>
    <cellStyle name="Normal 19 2 2 3" xfId="9807" xr:uid="{00000000-0005-0000-0000-0000F21D0000}"/>
    <cellStyle name="Normal 19 2 3" xfId="9808" xr:uid="{00000000-0005-0000-0000-0000F31D0000}"/>
    <cellStyle name="Normal 19 2 3 2" xfId="9809" xr:uid="{00000000-0005-0000-0000-0000F41D0000}"/>
    <cellStyle name="Normal 19 2 4" xfId="9810" xr:uid="{00000000-0005-0000-0000-0000F51D0000}"/>
    <cellStyle name="Normal 19 3" xfId="9811" xr:uid="{00000000-0005-0000-0000-0000F61D0000}"/>
    <cellStyle name="Normal 19 3 2" xfId="9812" xr:uid="{00000000-0005-0000-0000-0000F71D0000}"/>
    <cellStyle name="Normal 19 3 2 2" xfId="9813" xr:uid="{00000000-0005-0000-0000-0000F81D0000}"/>
    <cellStyle name="Normal 19 3 3" xfId="9814" xr:uid="{00000000-0005-0000-0000-0000F91D0000}"/>
    <cellStyle name="Normal 19 4" xfId="9815" xr:uid="{00000000-0005-0000-0000-0000FA1D0000}"/>
    <cellStyle name="Normal 19 4 2" xfId="9816" xr:uid="{00000000-0005-0000-0000-0000FB1D0000}"/>
    <cellStyle name="Normal 19 5" xfId="9817" xr:uid="{00000000-0005-0000-0000-0000FC1D0000}"/>
    <cellStyle name="Normal 19 6" xfId="9818" xr:uid="{00000000-0005-0000-0000-0000FD1D0000}"/>
    <cellStyle name="Normal 19 7" xfId="9819" xr:uid="{00000000-0005-0000-0000-0000FE1D0000}"/>
    <cellStyle name="Normal 190" xfId="9820" xr:uid="{00000000-0005-0000-0000-0000FF1D0000}"/>
    <cellStyle name="Normal 191" xfId="9821" xr:uid="{00000000-0005-0000-0000-0000001E0000}"/>
    <cellStyle name="Normal 192" xfId="9822" xr:uid="{00000000-0005-0000-0000-0000011E0000}"/>
    <cellStyle name="Normal 193" xfId="9823" xr:uid="{00000000-0005-0000-0000-0000021E0000}"/>
    <cellStyle name="Normal 194" xfId="9824" xr:uid="{00000000-0005-0000-0000-0000031E0000}"/>
    <cellStyle name="Normal 195" xfId="9825" xr:uid="{00000000-0005-0000-0000-0000041E0000}"/>
    <cellStyle name="Normal 196" xfId="9826" xr:uid="{00000000-0005-0000-0000-0000051E0000}"/>
    <cellStyle name="Normal 197" xfId="9827" xr:uid="{00000000-0005-0000-0000-0000061E0000}"/>
    <cellStyle name="Normal 198" xfId="9828" xr:uid="{00000000-0005-0000-0000-0000071E0000}"/>
    <cellStyle name="Normal 199" xfId="9829" xr:uid="{00000000-0005-0000-0000-0000081E0000}"/>
    <cellStyle name="Normal 2" xfId="6" xr:uid="{00000000-0005-0000-0000-0000091E0000}"/>
    <cellStyle name="Normal 2 10" xfId="942" xr:uid="{00000000-0005-0000-0000-00000A1E0000}"/>
    <cellStyle name="Normal 2 10 2" xfId="9830" xr:uid="{00000000-0005-0000-0000-00000B1E0000}"/>
    <cellStyle name="Normal 2 11" xfId="9831" xr:uid="{00000000-0005-0000-0000-00000C1E0000}"/>
    <cellStyle name="Normal 2 11 2" xfId="9832" xr:uid="{00000000-0005-0000-0000-00000D1E0000}"/>
    <cellStyle name="Normal 2 12" xfId="9833" xr:uid="{00000000-0005-0000-0000-00000E1E0000}"/>
    <cellStyle name="Normal 2 12 2" xfId="9834" xr:uid="{00000000-0005-0000-0000-00000F1E0000}"/>
    <cellStyle name="Normal 2 13" xfId="9835" xr:uid="{00000000-0005-0000-0000-0000101E0000}"/>
    <cellStyle name="Normal 2 13 2" xfId="9836" xr:uid="{00000000-0005-0000-0000-0000111E0000}"/>
    <cellStyle name="Normal 2 14" xfId="9837" xr:uid="{00000000-0005-0000-0000-0000121E0000}"/>
    <cellStyle name="Normal 2 15" xfId="9838" xr:uid="{00000000-0005-0000-0000-0000131E0000}"/>
    <cellStyle name="Normal 2 16" xfId="9839" xr:uid="{00000000-0005-0000-0000-0000141E0000}"/>
    <cellStyle name="Normal 2 17" xfId="9840" xr:uid="{00000000-0005-0000-0000-0000151E0000}"/>
    <cellStyle name="Normal 2 18" xfId="9841" xr:uid="{00000000-0005-0000-0000-0000161E0000}"/>
    <cellStyle name="Normal 2 19" xfId="9842" xr:uid="{00000000-0005-0000-0000-0000171E0000}"/>
    <cellStyle name="Normal 2 2" xfId="19" xr:uid="{00000000-0005-0000-0000-0000181E0000}"/>
    <cellStyle name="Normal 2 2 2" xfId="943" xr:uid="{00000000-0005-0000-0000-0000191E0000}"/>
    <cellStyle name="Normal 2 2 2 10" xfId="9843" xr:uid="{00000000-0005-0000-0000-00001A1E0000}"/>
    <cellStyle name="Normal 2 2 2 11" xfId="9844" xr:uid="{00000000-0005-0000-0000-00001B1E0000}"/>
    <cellStyle name="Normal 2 2 2 12" xfId="9845" xr:uid="{00000000-0005-0000-0000-00001C1E0000}"/>
    <cellStyle name="Normal 2 2 2 13" xfId="9846" xr:uid="{00000000-0005-0000-0000-00001D1E0000}"/>
    <cellStyle name="Normal 2 2 2 14" xfId="9847" xr:uid="{00000000-0005-0000-0000-00001E1E0000}"/>
    <cellStyle name="Normal 2 2 2 2" xfId="944" xr:uid="{00000000-0005-0000-0000-00001F1E0000}"/>
    <cellStyle name="Normal 2 2 2 2 10" xfId="9848" xr:uid="{00000000-0005-0000-0000-0000201E0000}"/>
    <cellStyle name="Normal 2 2 2 2 11" xfId="9849" xr:uid="{00000000-0005-0000-0000-0000211E0000}"/>
    <cellStyle name="Normal 2 2 2 2 12" xfId="9850" xr:uid="{00000000-0005-0000-0000-0000221E0000}"/>
    <cellStyle name="Normal 2 2 2 2 13" xfId="9851" xr:uid="{00000000-0005-0000-0000-0000231E0000}"/>
    <cellStyle name="Normal 2 2 2 2 2" xfId="945" xr:uid="{00000000-0005-0000-0000-0000241E0000}"/>
    <cellStyle name="Normal 2 2 2 2 2 10" xfId="9852" xr:uid="{00000000-0005-0000-0000-0000251E0000}"/>
    <cellStyle name="Normal 2 2 2 2 2 11" xfId="9853" xr:uid="{00000000-0005-0000-0000-0000261E0000}"/>
    <cellStyle name="Normal 2 2 2 2 2 2" xfId="946" xr:uid="{00000000-0005-0000-0000-0000271E0000}"/>
    <cellStyle name="Normal 2 2 2 2 2 2 2" xfId="947" xr:uid="{00000000-0005-0000-0000-0000281E0000}"/>
    <cellStyle name="Normal 2 2 2 2 2 2 2 2" xfId="948" xr:uid="{00000000-0005-0000-0000-0000291E0000}"/>
    <cellStyle name="Normal 2 2 2 2 2 2 2 2 2" xfId="949" xr:uid="{00000000-0005-0000-0000-00002A1E0000}"/>
    <cellStyle name="Normal 2 2 2 2 2 2 2 3" xfId="950" xr:uid="{00000000-0005-0000-0000-00002B1E0000}"/>
    <cellStyle name="Normal 2 2 2 2 2 2 3" xfId="951" xr:uid="{00000000-0005-0000-0000-00002C1E0000}"/>
    <cellStyle name="Normal 2 2 2 2 2 2 3 2" xfId="952" xr:uid="{00000000-0005-0000-0000-00002D1E0000}"/>
    <cellStyle name="Normal 2 2 2 2 2 2 4" xfId="953" xr:uid="{00000000-0005-0000-0000-00002E1E0000}"/>
    <cellStyle name="Normal 2 2 2 2 2 2 5" xfId="9854" xr:uid="{00000000-0005-0000-0000-00002F1E0000}"/>
    <cellStyle name="Normal 2 2 2 2 2 2 6" xfId="9855" xr:uid="{00000000-0005-0000-0000-0000301E0000}"/>
    <cellStyle name="Normal 2 2 2 2 2 2 7" xfId="9856" xr:uid="{00000000-0005-0000-0000-0000311E0000}"/>
    <cellStyle name="Normal 2 2 2 2 2 2 8" xfId="9857" xr:uid="{00000000-0005-0000-0000-0000321E0000}"/>
    <cellStyle name="Normal 2 2 2 2 2 3" xfId="954" xr:uid="{00000000-0005-0000-0000-0000331E0000}"/>
    <cellStyle name="Normal 2 2 2 2 2 3 2" xfId="955" xr:uid="{00000000-0005-0000-0000-0000341E0000}"/>
    <cellStyle name="Normal 2 2 2 2 2 3 2 2" xfId="956" xr:uid="{00000000-0005-0000-0000-0000351E0000}"/>
    <cellStyle name="Normal 2 2 2 2 2 3 3" xfId="957" xr:uid="{00000000-0005-0000-0000-0000361E0000}"/>
    <cellStyle name="Normal 2 2 2 2 2 3 4" xfId="9858" xr:uid="{00000000-0005-0000-0000-0000371E0000}"/>
    <cellStyle name="Normal 2 2 2 2 2 4" xfId="958" xr:uid="{00000000-0005-0000-0000-0000381E0000}"/>
    <cellStyle name="Normal 2 2 2 2 2 4 2" xfId="959" xr:uid="{00000000-0005-0000-0000-0000391E0000}"/>
    <cellStyle name="Normal 2 2 2 2 2 5" xfId="960" xr:uid="{00000000-0005-0000-0000-00003A1E0000}"/>
    <cellStyle name="Normal 2 2 2 2 2 5 2" xfId="9859" xr:uid="{00000000-0005-0000-0000-00003B1E0000}"/>
    <cellStyle name="Normal 2 2 2 2 2 6" xfId="9860" xr:uid="{00000000-0005-0000-0000-00003C1E0000}"/>
    <cellStyle name="Normal 2 2 2 2 2 6 2" xfId="9861" xr:uid="{00000000-0005-0000-0000-00003D1E0000}"/>
    <cellStyle name="Normal 2 2 2 2 2 7" xfId="9862" xr:uid="{00000000-0005-0000-0000-00003E1E0000}"/>
    <cellStyle name="Normal 2 2 2 2 2 8" xfId="9863" xr:uid="{00000000-0005-0000-0000-00003F1E0000}"/>
    <cellStyle name="Normal 2 2 2 2 2 9" xfId="9864" xr:uid="{00000000-0005-0000-0000-0000401E0000}"/>
    <cellStyle name="Normal 2 2 2 2 3" xfId="961" xr:uid="{00000000-0005-0000-0000-0000411E0000}"/>
    <cellStyle name="Normal 2 2 2 2 3 2" xfId="962" xr:uid="{00000000-0005-0000-0000-0000421E0000}"/>
    <cellStyle name="Normal 2 2 2 2 3 2 2" xfId="963" xr:uid="{00000000-0005-0000-0000-0000431E0000}"/>
    <cellStyle name="Normal 2 2 2 2 3 2 2 2" xfId="964" xr:uid="{00000000-0005-0000-0000-0000441E0000}"/>
    <cellStyle name="Normal 2 2 2 2 3 2 3" xfId="965" xr:uid="{00000000-0005-0000-0000-0000451E0000}"/>
    <cellStyle name="Normal 2 2 2 2 3 3" xfId="966" xr:uid="{00000000-0005-0000-0000-0000461E0000}"/>
    <cellStyle name="Normal 2 2 2 2 3 3 2" xfId="967" xr:uid="{00000000-0005-0000-0000-0000471E0000}"/>
    <cellStyle name="Normal 2 2 2 2 3 4" xfId="968" xr:uid="{00000000-0005-0000-0000-0000481E0000}"/>
    <cellStyle name="Normal 2 2 2 2 3 5" xfId="9865" xr:uid="{00000000-0005-0000-0000-0000491E0000}"/>
    <cellStyle name="Normal 2 2 2 2 3 6" xfId="9866" xr:uid="{00000000-0005-0000-0000-00004A1E0000}"/>
    <cellStyle name="Normal 2 2 2 2 3 7" xfId="9867" xr:uid="{00000000-0005-0000-0000-00004B1E0000}"/>
    <cellStyle name="Normal 2 2 2 2 3 8" xfId="9868" xr:uid="{00000000-0005-0000-0000-00004C1E0000}"/>
    <cellStyle name="Normal 2 2 2 2 4" xfId="969" xr:uid="{00000000-0005-0000-0000-00004D1E0000}"/>
    <cellStyle name="Normal 2 2 2 2 4 2" xfId="970" xr:uid="{00000000-0005-0000-0000-00004E1E0000}"/>
    <cellStyle name="Normal 2 2 2 2 4 2 2" xfId="971" xr:uid="{00000000-0005-0000-0000-00004F1E0000}"/>
    <cellStyle name="Normal 2 2 2 2 4 3" xfId="972" xr:uid="{00000000-0005-0000-0000-0000501E0000}"/>
    <cellStyle name="Normal 2 2 2 2 4 4" xfId="9869" xr:uid="{00000000-0005-0000-0000-0000511E0000}"/>
    <cellStyle name="Normal 2 2 2 2 5" xfId="973" xr:uid="{00000000-0005-0000-0000-0000521E0000}"/>
    <cellStyle name="Normal 2 2 2 2 5 2" xfId="974" xr:uid="{00000000-0005-0000-0000-0000531E0000}"/>
    <cellStyle name="Normal 2 2 2 2 6" xfId="975" xr:uid="{00000000-0005-0000-0000-0000541E0000}"/>
    <cellStyle name="Normal 2 2 2 2 6 2" xfId="9870" xr:uid="{00000000-0005-0000-0000-0000551E0000}"/>
    <cellStyle name="Normal 2 2 2 2 7" xfId="9871" xr:uid="{00000000-0005-0000-0000-0000561E0000}"/>
    <cellStyle name="Normal 2 2 2 2 7 2" xfId="9872" xr:uid="{00000000-0005-0000-0000-0000571E0000}"/>
    <cellStyle name="Normal 2 2 2 2 8" xfId="9873" xr:uid="{00000000-0005-0000-0000-0000581E0000}"/>
    <cellStyle name="Normal 2 2 2 2 9" xfId="9874" xr:uid="{00000000-0005-0000-0000-0000591E0000}"/>
    <cellStyle name="Normal 2 2 2 3" xfId="976" xr:uid="{00000000-0005-0000-0000-00005A1E0000}"/>
    <cellStyle name="Normal 2 2 2 3 10" xfId="9875" xr:uid="{00000000-0005-0000-0000-00005B1E0000}"/>
    <cellStyle name="Normal 2 2 2 3 11" xfId="9876" xr:uid="{00000000-0005-0000-0000-00005C1E0000}"/>
    <cellStyle name="Normal 2 2 2 3 2" xfId="977" xr:uid="{00000000-0005-0000-0000-00005D1E0000}"/>
    <cellStyle name="Normal 2 2 2 3 2 2" xfId="978" xr:uid="{00000000-0005-0000-0000-00005E1E0000}"/>
    <cellStyle name="Normal 2 2 2 3 2 2 2" xfId="979" xr:uid="{00000000-0005-0000-0000-00005F1E0000}"/>
    <cellStyle name="Normal 2 2 2 3 2 2 2 2" xfId="980" xr:uid="{00000000-0005-0000-0000-0000601E0000}"/>
    <cellStyle name="Normal 2 2 2 3 2 2 3" xfId="981" xr:uid="{00000000-0005-0000-0000-0000611E0000}"/>
    <cellStyle name="Normal 2 2 2 3 2 3" xfId="982" xr:uid="{00000000-0005-0000-0000-0000621E0000}"/>
    <cellStyle name="Normal 2 2 2 3 2 3 2" xfId="983" xr:uid="{00000000-0005-0000-0000-0000631E0000}"/>
    <cellStyle name="Normal 2 2 2 3 2 4" xfId="984" xr:uid="{00000000-0005-0000-0000-0000641E0000}"/>
    <cellStyle name="Normal 2 2 2 3 2 5" xfId="9877" xr:uid="{00000000-0005-0000-0000-0000651E0000}"/>
    <cellStyle name="Normal 2 2 2 3 2 6" xfId="9878" xr:uid="{00000000-0005-0000-0000-0000661E0000}"/>
    <cellStyle name="Normal 2 2 2 3 2 7" xfId="9879" xr:uid="{00000000-0005-0000-0000-0000671E0000}"/>
    <cellStyle name="Normal 2 2 2 3 2 8" xfId="9880" xr:uid="{00000000-0005-0000-0000-0000681E0000}"/>
    <cellStyle name="Normal 2 2 2 3 3" xfId="985" xr:uid="{00000000-0005-0000-0000-0000691E0000}"/>
    <cellStyle name="Normal 2 2 2 3 3 2" xfId="986" xr:uid="{00000000-0005-0000-0000-00006A1E0000}"/>
    <cellStyle name="Normal 2 2 2 3 3 2 2" xfId="987" xr:uid="{00000000-0005-0000-0000-00006B1E0000}"/>
    <cellStyle name="Normal 2 2 2 3 3 3" xfId="988" xr:uid="{00000000-0005-0000-0000-00006C1E0000}"/>
    <cellStyle name="Normal 2 2 2 3 3 4" xfId="9881" xr:uid="{00000000-0005-0000-0000-00006D1E0000}"/>
    <cellStyle name="Normal 2 2 2 3 4" xfId="989" xr:uid="{00000000-0005-0000-0000-00006E1E0000}"/>
    <cellStyle name="Normal 2 2 2 3 4 2" xfId="990" xr:uid="{00000000-0005-0000-0000-00006F1E0000}"/>
    <cellStyle name="Normal 2 2 2 3 5" xfId="991" xr:uid="{00000000-0005-0000-0000-0000701E0000}"/>
    <cellStyle name="Normal 2 2 2 3 5 2" xfId="9882" xr:uid="{00000000-0005-0000-0000-0000711E0000}"/>
    <cellStyle name="Normal 2 2 2 3 6" xfId="9883" xr:uid="{00000000-0005-0000-0000-0000721E0000}"/>
    <cellStyle name="Normal 2 2 2 3 6 2" xfId="9884" xr:uid="{00000000-0005-0000-0000-0000731E0000}"/>
    <cellStyle name="Normal 2 2 2 3 7" xfId="9885" xr:uid="{00000000-0005-0000-0000-0000741E0000}"/>
    <cellStyle name="Normal 2 2 2 3 8" xfId="9886" xr:uid="{00000000-0005-0000-0000-0000751E0000}"/>
    <cellStyle name="Normal 2 2 2 3 9" xfId="9887" xr:uid="{00000000-0005-0000-0000-0000761E0000}"/>
    <cellStyle name="Normal 2 2 2 4" xfId="992" xr:uid="{00000000-0005-0000-0000-0000771E0000}"/>
    <cellStyle name="Normal 2 2 2 4 2" xfId="993" xr:uid="{00000000-0005-0000-0000-0000781E0000}"/>
    <cellStyle name="Normal 2 2 2 4 2 2" xfId="994" xr:uid="{00000000-0005-0000-0000-0000791E0000}"/>
    <cellStyle name="Normal 2 2 2 4 2 2 2" xfId="995" xr:uid="{00000000-0005-0000-0000-00007A1E0000}"/>
    <cellStyle name="Normal 2 2 2 4 2 3" xfId="996" xr:uid="{00000000-0005-0000-0000-00007B1E0000}"/>
    <cellStyle name="Normal 2 2 2 4 3" xfId="997" xr:uid="{00000000-0005-0000-0000-00007C1E0000}"/>
    <cellStyle name="Normal 2 2 2 4 3 2" xfId="998" xr:uid="{00000000-0005-0000-0000-00007D1E0000}"/>
    <cellStyle name="Normal 2 2 2 4 4" xfId="999" xr:uid="{00000000-0005-0000-0000-00007E1E0000}"/>
    <cellStyle name="Normal 2 2 2 4 5" xfId="9888" xr:uid="{00000000-0005-0000-0000-00007F1E0000}"/>
    <cellStyle name="Normal 2 2 2 4 6" xfId="9889" xr:uid="{00000000-0005-0000-0000-0000801E0000}"/>
    <cellStyle name="Normal 2 2 2 4 7" xfId="9890" xr:uid="{00000000-0005-0000-0000-0000811E0000}"/>
    <cellStyle name="Normal 2 2 2 4 8" xfId="9891" xr:uid="{00000000-0005-0000-0000-0000821E0000}"/>
    <cellStyle name="Normal 2 2 2 5" xfId="1000" xr:uid="{00000000-0005-0000-0000-0000831E0000}"/>
    <cellStyle name="Normal 2 2 2 5 2" xfId="1001" xr:uid="{00000000-0005-0000-0000-0000841E0000}"/>
    <cellStyle name="Normal 2 2 2 5 2 2" xfId="1002" xr:uid="{00000000-0005-0000-0000-0000851E0000}"/>
    <cellStyle name="Normal 2 2 2 5 3" xfId="1003" xr:uid="{00000000-0005-0000-0000-0000861E0000}"/>
    <cellStyle name="Normal 2 2 2 5 4" xfId="9892" xr:uid="{00000000-0005-0000-0000-0000871E0000}"/>
    <cellStyle name="Normal 2 2 2 6" xfId="1004" xr:uid="{00000000-0005-0000-0000-0000881E0000}"/>
    <cellStyle name="Normal 2 2 2 6 2" xfId="1005" xr:uid="{00000000-0005-0000-0000-0000891E0000}"/>
    <cellStyle name="Normal 2 2 2 7" xfId="1006" xr:uid="{00000000-0005-0000-0000-00008A1E0000}"/>
    <cellStyle name="Normal 2 2 2 7 2" xfId="9893" xr:uid="{00000000-0005-0000-0000-00008B1E0000}"/>
    <cellStyle name="Normal 2 2 2 8" xfId="9894" xr:uid="{00000000-0005-0000-0000-00008C1E0000}"/>
    <cellStyle name="Normal 2 2 2 8 2" xfId="9895" xr:uid="{00000000-0005-0000-0000-00008D1E0000}"/>
    <cellStyle name="Normal 2 2 2 9" xfId="9896" xr:uid="{00000000-0005-0000-0000-00008E1E0000}"/>
    <cellStyle name="Normal 2 2 3" xfId="1007" xr:uid="{00000000-0005-0000-0000-00008F1E0000}"/>
    <cellStyle name="Normal 2 2 3 2" xfId="1008" xr:uid="{00000000-0005-0000-0000-0000901E0000}"/>
    <cellStyle name="Normal 2 2 3 2 2" xfId="1009" xr:uid="{00000000-0005-0000-0000-0000911E0000}"/>
    <cellStyle name="Normal 2 2 3 2 2 2" xfId="1010" xr:uid="{00000000-0005-0000-0000-0000921E0000}"/>
    <cellStyle name="Normal 2 2 3 2 2 2 2" xfId="1011" xr:uid="{00000000-0005-0000-0000-0000931E0000}"/>
    <cellStyle name="Normal 2 2 3 2 2 2 2 2" xfId="1012" xr:uid="{00000000-0005-0000-0000-0000941E0000}"/>
    <cellStyle name="Normal 2 2 3 2 2 2 3" xfId="1013" xr:uid="{00000000-0005-0000-0000-0000951E0000}"/>
    <cellStyle name="Normal 2 2 3 2 2 3" xfId="1014" xr:uid="{00000000-0005-0000-0000-0000961E0000}"/>
    <cellStyle name="Normal 2 2 3 2 2 3 2" xfId="1015" xr:uid="{00000000-0005-0000-0000-0000971E0000}"/>
    <cellStyle name="Normal 2 2 3 2 2 4" xfId="1016" xr:uid="{00000000-0005-0000-0000-0000981E0000}"/>
    <cellStyle name="Normal 2 2 3 2 3" xfId="1017" xr:uid="{00000000-0005-0000-0000-0000991E0000}"/>
    <cellStyle name="Normal 2 2 3 2 3 2" xfId="1018" xr:uid="{00000000-0005-0000-0000-00009A1E0000}"/>
    <cellStyle name="Normal 2 2 3 2 3 2 2" xfId="1019" xr:uid="{00000000-0005-0000-0000-00009B1E0000}"/>
    <cellStyle name="Normal 2 2 3 2 3 3" xfId="1020" xr:uid="{00000000-0005-0000-0000-00009C1E0000}"/>
    <cellStyle name="Normal 2 2 3 2 4" xfId="1021" xr:uid="{00000000-0005-0000-0000-00009D1E0000}"/>
    <cellStyle name="Normal 2 2 3 2 4 2" xfId="1022" xr:uid="{00000000-0005-0000-0000-00009E1E0000}"/>
    <cellStyle name="Normal 2 2 3 2 5" xfId="1023" xr:uid="{00000000-0005-0000-0000-00009F1E0000}"/>
    <cellStyle name="Normal 2 2 3 3" xfId="1024" xr:uid="{00000000-0005-0000-0000-0000A01E0000}"/>
    <cellStyle name="Normal 2 2 3 3 2" xfId="1025" xr:uid="{00000000-0005-0000-0000-0000A11E0000}"/>
    <cellStyle name="Normal 2 2 3 3 2 2" xfId="1026" xr:uid="{00000000-0005-0000-0000-0000A21E0000}"/>
    <cellStyle name="Normal 2 2 3 3 2 2 2" xfId="1027" xr:uid="{00000000-0005-0000-0000-0000A31E0000}"/>
    <cellStyle name="Normal 2 2 3 3 2 3" xfId="1028" xr:uid="{00000000-0005-0000-0000-0000A41E0000}"/>
    <cellStyle name="Normal 2 2 3 3 3" xfId="1029" xr:uid="{00000000-0005-0000-0000-0000A51E0000}"/>
    <cellStyle name="Normal 2 2 3 3 3 2" xfId="1030" xr:uid="{00000000-0005-0000-0000-0000A61E0000}"/>
    <cellStyle name="Normal 2 2 3 3 4" xfId="1031" xr:uid="{00000000-0005-0000-0000-0000A71E0000}"/>
    <cellStyle name="Normal 2 2 3 4" xfId="1032" xr:uid="{00000000-0005-0000-0000-0000A81E0000}"/>
    <cellStyle name="Normal 2 2 3 4 2" xfId="1033" xr:uid="{00000000-0005-0000-0000-0000A91E0000}"/>
    <cellStyle name="Normal 2 2 3 4 2 2" xfId="1034" xr:uid="{00000000-0005-0000-0000-0000AA1E0000}"/>
    <cellStyle name="Normal 2 2 3 4 3" xfId="1035" xr:uid="{00000000-0005-0000-0000-0000AB1E0000}"/>
    <cellStyle name="Normal 2 2 3 5" xfId="1036" xr:uid="{00000000-0005-0000-0000-0000AC1E0000}"/>
    <cellStyle name="Normal 2 2 3 5 2" xfId="1037" xr:uid="{00000000-0005-0000-0000-0000AD1E0000}"/>
    <cellStyle name="Normal 2 2 3 6" xfId="1038" xr:uid="{00000000-0005-0000-0000-0000AE1E0000}"/>
    <cellStyle name="Normal 2 2 4" xfId="1039" xr:uid="{00000000-0005-0000-0000-0000AF1E0000}"/>
    <cellStyle name="Normal 2 2 4 2" xfId="1040" xr:uid="{00000000-0005-0000-0000-0000B01E0000}"/>
    <cellStyle name="Normal 2 2 4 2 2" xfId="1041" xr:uid="{00000000-0005-0000-0000-0000B11E0000}"/>
    <cellStyle name="Normal 2 2 4 2 2 2" xfId="1042" xr:uid="{00000000-0005-0000-0000-0000B21E0000}"/>
    <cellStyle name="Normal 2 2 4 2 2 2 2" xfId="1043" xr:uid="{00000000-0005-0000-0000-0000B31E0000}"/>
    <cellStyle name="Normal 2 2 4 2 2 3" xfId="1044" xr:uid="{00000000-0005-0000-0000-0000B41E0000}"/>
    <cellStyle name="Normal 2 2 4 2 3" xfId="1045" xr:uid="{00000000-0005-0000-0000-0000B51E0000}"/>
    <cellStyle name="Normal 2 2 4 2 3 2" xfId="1046" xr:uid="{00000000-0005-0000-0000-0000B61E0000}"/>
    <cellStyle name="Normal 2 2 4 2 4" xfId="1047" xr:uid="{00000000-0005-0000-0000-0000B71E0000}"/>
    <cellStyle name="Normal 2 2 4 3" xfId="1048" xr:uid="{00000000-0005-0000-0000-0000B81E0000}"/>
    <cellStyle name="Normal 2 2 4 3 2" xfId="1049" xr:uid="{00000000-0005-0000-0000-0000B91E0000}"/>
    <cellStyle name="Normal 2 2 4 3 2 2" xfId="1050" xr:uid="{00000000-0005-0000-0000-0000BA1E0000}"/>
    <cellStyle name="Normal 2 2 4 3 3" xfId="1051" xr:uid="{00000000-0005-0000-0000-0000BB1E0000}"/>
    <cellStyle name="Normal 2 2 4 4" xfId="1052" xr:uid="{00000000-0005-0000-0000-0000BC1E0000}"/>
    <cellStyle name="Normal 2 2 4 4 2" xfId="1053" xr:uid="{00000000-0005-0000-0000-0000BD1E0000}"/>
    <cellStyle name="Normal 2 2 4 5" xfId="1054" xr:uid="{00000000-0005-0000-0000-0000BE1E0000}"/>
    <cellStyle name="Normal 2 2 5" xfId="1055" xr:uid="{00000000-0005-0000-0000-0000BF1E0000}"/>
    <cellStyle name="Normal 2 2 5 10" xfId="9897" xr:uid="{00000000-0005-0000-0000-0000C01E0000}"/>
    <cellStyle name="Normal 2 2 5 11" xfId="9898" xr:uid="{00000000-0005-0000-0000-0000C11E0000}"/>
    <cellStyle name="Normal 2 2 5 2" xfId="1056" xr:uid="{00000000-0005-0000-0000-0000C21E0000}"/>
    <cellStyle name="Normal 2 2 5 2 2" xfId="1057" xr:uid="{00000000-0005-0000-0000-0000C31E0000}"/>
    <cellStyle name="Normal 2 2 5 2 2 2" xfId="1058" xr:uid="{00000000-0005-0000-0000-0000C41E0000}"/>
    <cellStyle name="Normal 2 2 5 2 2 3" xfId="9899" xr:uid="{00000000-0005-0000-0000-0000C51E0000}"/>
    <cellStyle name="Normal 2 2 5 2 3" xfId="1059" xr:uid="{00000000-0005-0000-0000-0000C61E0000}"/>
    <cellStyle name="Normal 2 2 5 2 3 2" xfId="9900" xr:uid="{00000000-0005-0000-0000-0000C71E0000}"/>
    <cellStyle name="Normal 2 2 5 2 4" xfId="9901" xr:uid="{00000000-0005-0000-0000-0000C81E0000}"/>
    <cellStyle name="Normal 2 2 5 2 5" xfId="9902" xr:uid="{00000000-0005-0000-0000-0000C91E0000}"/>
    <cellStyle name="Normal 2 2 5 2 6" xfId="9903" xr:uid="{00000000-0005-0000-0000-0000CA1E0000}"/>
    <cellStyle name="Normal 2 2 5 2 7" xfId="9904" xr:uid="{00000000-0005-0000-0000-0000CB1E0000}"/>
    <cellStyle name="Normal 2 2 5 2 8" xfId="9905" xr:uid="{00000000-0005-0000-0000-0000CC1E0000}"/>
    <cellStyle name="Normal 2 2 5 3" xfId="1060" xr:uid="{00000000-0005-0000-0000-0000CD1E0000}"/>
    <cellStyle name="Normal 2 2 5 3 2" xfId="1061" xr:uid="{00000000-0005-0000-0000-0000CE1E0000}"/>
    <cellStyle name="Normal 2 2 5 3 3" xfId="9906" xr:uid="{00000000-0005-0000-0000-0000CF1E0000}"/>
    <cellStyle name="Normal 2 2 5 4" xfId="1062" xr:uid="{00000000-0005-0000-0000-0000D01E0000}"/>
    <cellStyle name="Normal 2 2 5 4 2" xfId="9907" xr:uid="{00000000-0005-0000-0000-0000D11E0000}"/>
    <cellStyle name="Normal 2 2 5 5" xfId="9908" xr:uid="{00000000-0005-0000-0000-0000D21E0000}"/>
    <cellStyle name="Normal 2 2 5 5 2" xfId="9909" xr:uid="{00000000-0005-0000-0000-0000D31E0000}"/>
    <cellStyle name="Normal 2 2 5 6" xfId="9910" xr:uid="{00000000-0005-0000-0000-0000D41E0000}"/>
    <cellStyle name="Normal 2 2 5 7" xfId="9911" xr:uid="{00000000-0005-0000-0000-0000D51E0000}"/>
    <cellStyle name="Normal 2 2 5 8" xfId="9912" xr:uid="{00000000-0005-0000-0000-0000D61E0000}"/>
    <cellStyle name="Normal 2 2 5 9" xfId="9913" xr:uid="{00000000-0005-0000-0000-0000D71E0000}"/>
    <cellStyle name="Normal 2 2 6" xfId="1063" xr:uid="{00000000-0005-0000-0000-0000D81E0000}"/>
    <cellStyle name="Normal 2 2 6 2" xfId="1064" xr:uid="{00000000-0005-0000-0000-0000D91E0000}"/>
    <cellStyle name="Normal 2 2 6 2 2" xfId="1065" xr:uid="{00000000-0005-0000-0000-0000DA1E0000}"/>
    <cellStyle name="Normal 2 2 6 2 3" xfId="9914" xr:uid="{00000000-0005-0000-0000-0000DB1E0000}"/>
    <cellStyle name="Normal 2 2 6 3" xfId="1066" xr:uid="{00000000-0005-0000-0000-0000DC1E0000}"/>
    <cellStyle name="Normal 2 2 6 4" xfId="9915" xr:uid="{00000000-0005-0000-0000-0000DD1E0000}"/>
    <cellStyle name="Normal 2 2 6 5" xfId="9916" xr:uid="{00000000-0005-0000-0000-0000DE1E0000}"/>
    <cellStyle name="Normal 2 2 6 6" xfId="9917" xr:uid="{00000000-0005-0000-0000-0000DF1E0000}"/>
    <cellStyle name="Normal 2 2 6 7" xfId="9918" xr:uid="{00000000-0005-0000-0000-0000E01E0000}"/>
    <cellStyle name="Normal 2 2 7" xfId="1067" xr:uid="{00000000-0005-0000-0000-0000E11E0000}"/>
    <cellStyle name="Normal 2 2 7 2" xfId="1068" xr:uid="{00000000-0005-0000-0000-0000E21E0000}"/>
    <cellStyle name="Normal 2 2 8" xfId="1069" xr:uid="{00000000-0005-0000-0000-0000E31E0000}"/>
    <cellStyle name="Normal 2 2 9" xfId="41" xr:uid="{00000000-0005-0000-0000-0000E41E0000}"/>
    <cellStyle name="Normal 2 2_II-I-1 TRAN" xfId="9919" xr:uid="{00000000-0005-0000-0000-0000E51E0000}"/>
    <cellStyle name="Normal 2 20" xfId="9920" xr:uid="{00000000-0005-0000-0000-0000E61E0000}"/>
    <cellStyle name="Normal 2 21" xfId="9921" xr:uid="{00000000-0005-0000-0000-0000E71E0000}"/>
    <cellStyle name="Normal 2 22" xfId="9922" xr:uid="{00000000-0005-0000-0000-0000E81E0000}"/>
    <cellStyle name="Normal 2 23" xfId="9923" xr:uid="{00000000-0005-0000-0000-0000E91E0000}"/>
    <cellStyle name="Normal 2 24" xfId="9924" xr:uid="{00000000-0005-0000-0000-0000EA1E0000}"/>
    <cellStyle name="Normal 2 25" xfId="9925" xr:uid="{00000000-0005-0000-0000-0000EB1E0000}"/>
    <cellStyle name="Normal 2 3" xfId="21" xr:uid="{00000000-0005-0000-0000-0000EC1E0000}"/>
    <cellStyle name="Normal 2 3 2" xfId="28" xr:uid="{00000000-0005-0000-0000-0000ED1E0000}"/>
    <cellStyle name="Normal 2 3 2 10" xfId="9926" xr:uid="{00000000-0005-0000-0000-0000EE1E0000}"/>
    <cellStyle name="Normal 2 3 2 11" xfId="9927" xr:uid="{00000000-0005-0000-0000-0000EF1E0000}"/>
    <cellStyle name="Normal 2 3 2 12" xfId="9928" xr:uid="{00000000-0005-0000-0000-0000F01E0000}"/>
    <cellStyle name="Normal 2 3 2 13" xfId="9929" xr:uid="{00000000-0005-0000-0000-0000F11E0000}"/>
    <cellStyle name="Normal 2 3 2 14" xfId="9930" xr:uid="{00000000-0005-0000-0000-0000F21E0000}"/>
    <cellStyle name="Normal 2 3 2 15" xfId="1071" xr:uid="{00000000-0005-0000-0000-0000F31E0000}"/>
    <cellStyle name="Normal 2 3 2 2" xfId="1072" xr:uid="{00000000-0005-0000-0000-0000F41E0000}"/>
    <cellStyle name="Normal 2 3 2 2 10" xfId="9931" xr:uid="{00000000-0005-0000-0000-0000F51E0000}"/>
    <cellStyle name="Normal 2 3 2 2 11" xfId="9932" xr:uid="{00000000-0005-0000-0000-0000F61E0000}"/>
    <cellStyle name="Normal 2 3 2 2 12" xfId="9933" xr:uid="{00000000-0005-0000-0000-0000F71E0000}"/>
    <cellStyle name="Normal 2 3 2 2 13" xfId="9934" xr:uid="{00000000-0005-0000-0000-0000F81E0000}"/>
    <cellStyle name="Normal 2 3 2 2 2" xfId="1073" xr:uid="{00000000-0005-0000-0000-0000F91E0000}"/>
    <cellStyle name="Normal 2 3 2 2 2 10" xfId="9935" xr:uid="{00000000-0005-0000-0000-0000FA1E0000}"/>
    <cellStyle name="Normal 2 3 2 2 2 11" xfId="9936" xr:uid="{00000000-0005-0000-0000-0000FB1E0000}"/>
    <cellStyle name="Normal 2 3 2 2 2 12" xfId="9937" xr:uid="{00000000-0005-0000-0000-0000FC1E0000}"/>
    <cellStyle name="Normal 2 3 2 2 2 2" xfId="1074" xr:uid="{00000000-0005-0000-0000-0000FD1E0000}"/>
    <cellStyle name="Normal 2 3 2 2 2 2 2" xfId="1075" xr:uid="{00000000-0005-0000-0000-0000FE1E0000}"/>
    <cellStyle name="Normal 2 3 2 2 2 2 2 2" xfId="1076" xr:uid="{00000000-0005-0000-0000-0000FF1E0000}"/>
    <cellStyle name="Normal 2 3 2 2 2 2 2 3" xfId="9938" xr:uid="{00000000-0005-0000-0000-0000001F0000}"/>
    <cellStyle name="Normal 2 3 2 2 2 2 3" xfId="1077" xr:uid="{00000000-0005-0000-0000-0000011F0000}"/>
    <cellStyle name="Normal 2 3 2 2 2 2 3 2" xfId="9939" xr:uid="{00000000-0005-0000-0000-0000021F0000}"/>
    <cellStyle name="Normal 2 3 2 2 2 2 4" xfId="9940" xr:uid="{00000000-0005-0000-0000-0000031F0000}"/>
    <cellStyle name="Normal 2 3 2 2 2 2 5" xfId="9941" xr:uid="{00000000-0005-0000-0000-0000041F0000}"/>
    <cellStyle name="Normal 2 3 2 2 2 2 6" xfId="9942" xr:uid="{00000000-0005-0000-0000-0000051F0000}"/>
    <cellStyle name="Normal 2 3 2 2 2 2 7" xfId="9943" xr:uid="{00000000-0005-0000-0000-0000061F0000}"/>
    <cellStyle name="Normal 2 3 2 2 2 2 8" xfId="9944" xr:uid="{00000000-0005-0000-0000-0000071F0000}"/>
    <cellStyle name="Normal 2 3 2 2 2 2 9" xfId="9945" xr:uid="{00000000-0005-0000-0000-0000081F0000}"/>
    <cellStyle name="Normal 2 3 2 2 2 3" xfId="1078" xr:uid="{00000000-0005-0000-0000-0000091F0000}"/>
    <cellStyle name="Normal 2 3 2 2 2 3 2" xfId="1079" xr:uid="{00000000-0005-0000-0000-00000A1F0000}"/>
    <cellStyle name="Normal 2 3 2 2 2 3 2 2" xfId="9946" xr:uid="{00000000-0005-0000-0000-00000B1F0000}"/>
    <cellStyle name="Normal 2 3 2 2 2 3 3" xfId="9947" xr:uid="{00000000-0005-0000-0000-00000C1F0000}"/>
    <cellStyle name="Normal 2 3 2 2 2 3 4" xfId="9948" xr:uid="{00000000-0005-0000-0000-00000D1F0000}"/>
    <cellStyle name="Normal 2 3 2 2 2 4" xfId="1080" xr:uid="{00000000-0005-0000-0000-00000E1F0000}"/>
    <cellStyle name="Normal 2 3 2 2 2 4 2" xfId="9949" xr:uid="{00000000-0005-0000-0000-00000F1F0000}"/>
    <cellStyle name="Normal 2 3 2 2 2 5" xfId="9950" xr:uid="{00000000-0005-0000-0000-0000101F0000}"/>
    <cellStyle name="Normal 2 3 2 2 2 5 2" xfId="9951" xr:uid="{00000000-0005-0000-0000-0000111F0000}"/>
    <cellStyle name="Normal 2 3 2 2 2 6" xfId="9952" xr:uid="{00000000-0005-0000-0000-0000121F0000}"/>
    <cellStyle name="Normal 2 3 2 2 2 6 2" xfId="9953" xr:uid="{00000000-0005-0000-0000-0000131F0000}"/>
    <cellStyle name="Normal 2 3 2 2 2 7" xfId="9954" xr:uid="{00000000-0005-0000-0000-0000141F0000}"/>
    <cellStyle name="Normal 2 3 2 2 2 8" xfId="9955" xr:uid="{00000000-0005-0000-0000-0000151F0000}"/>
    <cellStyle name="Normal 2 3 2 2 2 9" xfId="9956" xr:uid="{00000000-0005-0000-0000-0000161F0000}"/>
    <cellStyle name="Normal 2 3 2 2 3" xfId="1081" xr:uid="{00000000-0005-0000-0000-0000171F0000}"/>
    <cellStyle name="Normal 2 3 2 2 3 2" xfId="1082" xr:uid="{00000000-0005-0000-0000-0000181F0000}"/>
    <cellStyle name="Normal 2 3 2 2 3 2 2" xfId="1083" xr:uid="{00000000-0005-0000-0000-0000191F0000}"/>
    <cellStyle name="Normal 2 3 2 2 3 2 3" xfId="9957" xr:uid="{00000000-0005-0000-0000-00001A1F0000}"/>
    <cellStyle name="Normal 2 3 2 2 3 3" xfId="1084" xr:uid="{00000000-0005-0000-0000-00001B1F0000}"/>
    <cellStyle name="Normal 2 3 2 2 3 3 2" xfId="9958" xr:uid="{00000000-0005-0000-0000-00001C1F0000}"/>
    <cellStyle name="Normal 2 3 2 2 3 4" xfId="9959" xr:uid="{00000000-0005-0000-0000-00001D1F0000}"/>
    <cellStyle name="Normal 2 3 2 2 3 5" xfId="9960" xr:uid="{00000000-0005-0000-0000-00001E1F0000}"/>
    <cellStyle name="Normal 2 3 2 2 3 6" xfId="9961" xr:uid="{00000000-0005-0000-0000-00001F1F0000}"/>
    <cellStyle name="Normal 2 3 2 2 3 7" xfId="9962" xr:uid="{00000000-0005-0000-0000-0000201F0000}"/>
    <cellStyle name="Normal 2 3 2 2 3 8" xfId="9963" xr:uid="{00000000-0005-0000-0000-0000211F0000}"/>
    <cellStyle name="Normal 2 3 2 2 3 9" xfId="9964" xr:uid="{00000000-0005-0000-0000-0000221F0000}"/>
    <cellStyle name="Normal 2 3 2 2 4" xfId="1085" xr:uid="{00000000-0005-0000-0000-0000231F0000}"/>
    <cellStyle name="Normal 2 3 2 2 4 2" xfId="1086" xr:uid="{00000000-0005-0000-0000-0000241F0000}"/>
    <cellStyle name="Normal 2 3 2 2 4 2 2" xfId="9965" xr:uid="{00000000-0005-0000-0000-0000251F0000}"/>
    <cellStyle name="Normal 2 3 2 2 4 3" xfId="9966" xr:uid="{00000000-0005-0000-0000-0000261F0000}"/>
    <cellStyle name="Normal 2 3 2 2 4 4" xfId="9967" xr:uid="{00000000-0005-0000-0000-0000271F0000}"/>
    <cellStyle name="Normal 2 3 2 2 5" xfId="1087" xr:uid="{00000000-0005-0000-0000-0000281F0000}"/>
    <cellStyle name="Normal 2 3 2 2 5 2" xfId="9968" xr:uid="{00000000-0005-0000-0000-0000291F0000}"/>
    <cellStyle name="Normal 2 3 2 2 6" xfId="9969" xr:uid="{00000000-0005-0000-0000-00002A1F0000}"/>
    <cellStyle name="Normal 2 3 2 2 6 2" xfId="9970" xr:uid="{00000000-0005-0000-0000-00002B1F0000}"/>
    <cellStyle name="Normal 2 3 2 2 7" xfId="9971" xr:uid="{00000000-0005-0000-0000-00002C1F0000}"/>
    <cellStyle name="Normal 2 3 2 2 7 2" xfId="9972" xr:uid="{00000000-0005-0000-0000-00002D1F0000}"/>
    <cellStyle name="Normal 2 3 2 2 8" xfId="9973" xr:uid="{00000000-0005-0000-0000-00002E1F0000}"/>
    <cellStyle name="Normal 2 3 2 2 9" xfId="9974" xr:uid="{00000000-0005-0000-0000-00002F1F0000}"/>
    <cellStyle name="Normal 2 3 2 3" xfId="1088" xr:uid="{00000000-0005-0000-0000-0000301F0000}"/>
    <cellStyle name="Normal 2 3 2 3 10" xfId="9975" xr:uid="{00000000-0005-0000-0000-0000311F0000}"/>
    <cellStyle name="Normal 2 3 2 3 11" xfId="9976" xr:uid="{00000000-0005-0000-0000-0000321F0000}"/>
    <cellStyle name="Normal 2 3 2 3 12" xfId="9977" xr:uid="{00000000-0005-0000-0000-0000331F0000}"/>
    <cellStyle name="Normal 2 3 2 3 2" xfId="1089" xr:uid="{00000000-0005-0000-0000-0000341F0000}"/>
    <cellStyle name="Normal 2 3 2 3 2 2" xfId="1090" xr:uid="{00000000-0005-0000-0000-0000351F0000}"/>
    <cellStyle name="Normal 2 3 2 3 2 2 2" xfId="1091" xr:uid="{00000000-0005-0000-0000-0000361F0000}"/>
    <cellStyle name="Normal 2 3 2 3 2 2 3" xfId="9978" xr:uid="{00000000-0005-0000-0000-0000371F0000}"/>
    <cellStyle name="Normal 2 3 2 3 2 3" xfId="1092" xr:uid="{00000000-0005-0000-0000-0000381F0000}"/>
    <cellStyle name="Normal 2 3 2 3 2 3 2" xfId="9979" xr:uid="{00000000-0005-0000-0000-0000391F0000}"/>
    <cellStyle name="Normal 2 3 2 3 2 4" xfId="9980" xr:uid="{00000000-0005-0000-0000-00003A1F0000}"/>
    <cellStyle name="Normal 2 3 2 3 2 5" xfId="9981" xr:uid="{00000000-0005-0000-0000-00003B1F0000}"/>
    <cellStyle name="Normal 2 3 2 3 2 6" xfId="9982" xr:uid="{00000000-0005-0000-0000-00003C1F0000}"/>
    <cellStyle name="Normal 2 3 2 3 2 7" xfId="9983" xr:uid="{00000000-0005-0000-0000-00003D1F0000}"/>
    <cellStyle name="Normal 2 3 2 3 2 8" xfId="9984" xr:uid="{00000000-0005-0000-0000-00003E1F0000}"/>
    <cellStyle name="Normal 2 3 2 3 2 9" xfId="9985" xr:uid="{00000000-0005-0000-0000-00003F1F0000}"/>
    <cellStyle name="Normal 2 3 2 3 3" xfId="1093" xr:uid="{00000000-0005-0000-0000-0000401F0000}"/>
    <cellStyle name="Normal 2 3 2 3 3 2" xfId="1094" xr:uid="{00000000-0005-0000-0000-0000411F0000}"/>
    <cellStyle name="Normal 2 3 2 3 3 2 2" xfId="9986" xr:uid="{00000000-0005-0000-0000-0000421F0000}"/>
    <cellStyle name="Normal 2 3 2 3 3 3" xfId="9987" xr:uid="{00000000-0005-0000-0000-0000431F0000}"/>
    <cellStyle name="Normal 2 3 2 3 3 4" xfId="9988" xr:uid="{00000000-0005-0000-0000-0000441F0000}"/>
    <cellStyle name="Normal 2 3 2 3 4" xfId="1095" xr:uid="{00000000-0005-0000-0000-0000451F0000}"/>
    <cellStyle name="Normal 2 3 2 3 4 2" xfId="9989" xr:uid="{00000000-0005-0000-0000-0000461F0000}"/>
    <cellStyle name="Normal 2 3 2 3 5" xfId="9990" xr:uid="{00000000-0005-0000-0000-0000471F0000}"/>
    <cellStyle name="Normal 2 3 2 3 5 2" xfId="9991" xr:uid="{00000000-0005-0000-0000-0000481F0000}"/>
    <cellStyle name="Normal 2 3 2 3 6" xfId="9992" xr:uid="{00000000-0005-0000-0000-0000491F0000}"/>
    <cellStyle name="Normal 2 3 2 3 6 2" xfId="9993" xr:uid="{00000000-0005-0000-0000-00004A1F0000}"/>
    <cellStyle name="Normal 2 3 2 3 7" xfId="9994" xr:uid="{00000000-0005-0000-0000-00004B1F0000}"/>
    <cellStyle name="Normal 2 3 2 3 8" xfId="9995" xr:uid="{00000000-0005-0000-0000-00004C1F0000}"/>
    <cellStyle name="Normal 2 3 2 3 9" xfId="9996" xr:uid="{00000000-0005-0000-0000-00004D1F0000}"/>
    <cellStyle name="Normal 2 3 2 4" xfId="1096" xr:uid="{00000000-0005-0000-0000-00004E1F0000}"/>
    <cellStyle name="Normal 2 3 2 4 2" xfId="1097" xr:uid="{00000000-0005-0000-0000-00004F1F0000}"/>
    <cellStyle name="Normal 2 3 2 4 2 2" xfId="1098" xr:uid="{00000000-0005-0000-0000-0000501F0000}"/>
    <cellStyle name="Normal 2 3 2 4 2 3" xfId="9997" xr:uid="{00000000-0005-0000-0000-0000511F0000}"/>
    <cellStyle name="Normal 2 3 2 4 3" xfId="1099" xr:uid="{00000000-0005-0000-0000-0000521F0000}"/>
    <cellStyle name="Normal 2 3 2 4 3 2" xfId="9998" xr:uid="{00000000-0005-0000-0000-0000531F0000}"/>
    <cellStyle name="Normal 2 3 2 4 4" xfId="9999" xr:uid="{00000000-0005-0000-0000-0000541F0000}"/>
    <cellStyle name="Normal 2 3 2 4 5" xfId="10000" xr:uid="{00000000-0005-0000-0000-0000551F0000}"/>
    <cellStyle name="Normal 2 3 2 4 6" xfId="10001" xr:uid="{00000000-0005-0000-0000-0000561F0000}"/>
    <cellStyle name="Normal 2 3 2 4 7" xfId="10002" xr:uid="{00000000-0005-0000-0000-0000571F0000}"/>
    <cellStyle name="Normal 2 3 2 4 8" xfId="10003" xr:uid="{00000000-0005-0000-0000-0000581F0000}"/>
    <cellStyle name="Normal 2 3 2 4 9" xfId="10004" xr:uid="{00000000-0005-0000-0000-0000591F0000}"/>
    <cellStyle name="Normal 2 3 2 5" xfId="1100" xr:uid="{00000000-0005-0000-0000-00005A1F0000}"/>
    <cellStyle name="Normal 2 3 2 5 2" xfId="1101" xr:uid="{00000000-0005-0000-0000-00005B1F0000}"/>
    <cellStyle name="Normal 2 3 2 5 2 2" xfId="10005" xr:uid="{00000000-0005-0000-0000-00005C1F0000}"/>
    <cellStyle name="Normal 2 3 2 5 3" xfId="10006" xr:uid="{00000000-0005-0000-0000-00005D1F0000}"/>
    <cellStyle name="Normal 2 3 2 5 4" xfId="10007" xr:uid="{00000000-0005-0000-0000-00005E1F0000}"/>
    <cellStyle name="Normal 2 3 2 5 5" xfId="10008" xr:uid="{00000000-0005-0000-0000-00005F1F0000}"/>
    <cellStyle name="Normal 2 3 2 6" xfId="1102" xr:uid="{00000000-0005-0000-0000-0000601F0000}"/>
    <cellStyle name="Normal 2 3 2 6 2" xfId="10009" xr:uid="{00000000-0005-0000-0000-0000611F0000}"/>
    <cellStyle name="Normal 2 3 2 7" xfId="10010" xr:uid="{00000000-0005-0000-0000-0000621F0000}"/>
    <cellStyle name="Normal 2 3 2 7 2" xfId="10011" xr:uid="{00000000-0005-0000-0000-0000631F0000}"/>
    <cellStyle name="Normal 2 3 2 8" xfId="10012" xr:uid="{00000000-0005-0000-0000-0000641F0000}"/>
    <cellStyle name="Normal 2 3 2 8 2" xfId="10013" xr:uid="{00000000-0005-0000-0000-0000651F0000}"/>
    <cellStyle name="Normal 2 3 2 9" xfId="10014" xr:uid="{00000000-0005-0000-0000-0000661F0000}"/>
    <cellStyle name="Normal 2 3 3" xfId="1103" xr:uid="{00000000-0005-0000-0000-0000671F0000}"/>
    <cellStyle name="Normal 2 3 3 2" xfId="1104" xr:uid="{00000000-0005-0000-0000-0000681F0000}"/>
    <cellStyle name="Normal 2 3 3 2 2" xfId="1105" xr:uid="{00000000-0005-0000-0000-0000691F0000}"/>
    <cellStyle name="Normal 2 3 3 2 2 2" xfId="1106" xr:uid="{00000000-0005-0000-0000-00006A1F0000}"/>
    <cellStyle name="Normal 2 3 3 2 2 2 2" xfId="1107" xr:uid="{00000000-0005-0000-0000-00006B1F0000}"/>
    <cellStyle name="Normal 2 3 3 2 2 3" xfId="1108" xr:uid="{00000000-0005-0000-0000-00006C1F0000}"/>
    <cellStyle name="Normal 2 3 3 2 3" xfId="1109" xr:uid="{00000000-0005-0000-0000-00006D1F0000}"/>
    <cellStyle name="Normal 2 3 3 2 3 2" xfId="1110" xr:uid="{00000000-0005-0000-0000-00006E1F0000}"/>
    <cellStyle name="Normal 2 3 3 2 4" xfId="1111" xr:uid="{00000000-0005-0000-0000-00006F1F0000}"/>
    <cellStyle name="Normal 2 3 3 3" xfId="1112" xr:uid="{00000000-0005-0000-0000-0000701F0000}"/>
    <cellStyle name="Normal 2 3 3 3 2" xfId="1113" xr:uid="{00000000-0005-0000-0000-0000711F0000}"/>
    <cellStyle name="Normal 2 3 3 3 2 2" xfId="1114" xr:uid="{00000000-0005-0000-0000-0000721F0000}"/>
    <cellStyle name="Normal 2 3 3 3 3" xfId="1115" xr:uid="{00000000-0005-0000-0000-0000731F0000}"/>
    <cellStyle name="Normal 2 3 3 4" xfId="1116" xr:uid="{00000000-0005-0000-0000-0000741F0000}"/>
    <cellStyle name="Normal 2 3 3 4 2" xfId="1117" xr:uid="{00000000-0005-0000-0000-0000751F0000}"/>
    <cellStyle name="Normal 2 3 3 5" xfId="1118" xr:uid="{00000000-0005-0000-0000-0000761F0000}"/>
    <cellStyle name="Normal 2 3 4" xfId="1119" xr:uid="{00000000-0005-0000-0000-0000771F0000}"/>
    <cellStyle name="Normal 2 3 4 2" xfId="1120" xr:uid="{00000000-0005-0000-0000-0000781F0000}"/>
    <cellStyle name="Normal 2 3 4 2 2" xfId="1121" xr:uid="{00000000-0005-0000-0000-0000791F0000}"/>
    <cellStyle name="Normal 2 3 4 2 2 2" xfId="1122" xr:uid="{00000000-0005-0000-0000-00007A1F0000}"/>
    <cellStyle name="Normal 2 3 4 2 3" xfId="1123" xr:uid="{00000000-0005-0000-0000-00007B1F0000}"/>
    <cellStyle name="Normal 2 3 4 3" xfId="1124" xr:uid="{00000000-0005-0000-0000-00007C1F0000}"/>
    <cellStyle name="Normal 2 3 4 3 2" xfId="1125" xr:uid="{00000000-0005-0000-0000-00007D1F0000}"/>
    <cellStyle name="Normal 2 3 4 4" xfId="1126" xr:uid="{00000000-0005-0000-0000-00007E1F0000}"/>
    <cellStyle name="Normal 2 3 5" xfId="1127" xr:uid="{00000000-0005-0000-0000-00007F1F0000}"/>
    <cellStyle name="Normal 2 3 5 2" xfId="1128" xr:uid="{00000000-0005-0000-0000-0000801F0000}"/>
    <cellStyle name="Normal 2 3 5 2 2" xfId="1129" xr:uid="{00000000-0005-0000-0000-0000811F0000}"/>
    <cellStyle name="Normal 2 3 5 3" xfId="1130" xr:uid="{00000000-0005-0000-0000-0000821F0000}"/>
    <cellStyle name="Normal 2 3 6" xfId="1131" xr:uid="{00000000-0005-0000-0000-0000831F0000}"/>
    <cellStyle name="Normal 2 3 6 2" xfId="1132" xr:uid="{00000000-0005-0000-0000-0000841F0000}"/>
    <cellStyle name="Normal 2 3 7" xfId="1133" xr:uid="{00000000-0005-0000-0000-0000851F0000}"/>
    <cellStyle name="Normal 2 3 8" xfId="10015" xr:uid="{00000000-0005-0000-0000-0000861F0000}"/>
    <cellStyle name="Normal 2 3 9" xfId="1070" xr:uid="{00000000-0005-0000-0000-0000871F0000}"/>
    <cellStyle name="Normal 2 4" xfId="1134" xr:uid="{00000000-0005-0000-0000-0000881F0000}"/>
    <cellStyle name="Normal 2 4 2" xfId="1135" xr:uid="{00000000-0005-0000-0000-0000891F0000}"/>
    <cellStyle name="Normal 2 4 2 2" xfId="1136" xr:uid="{00000000-0005-0000-0000-00008A1F0000}"/>
    <cellStyle name="Normal 2 4 2 2 2" xfId="1137" xr:uid="{00000000-0005-0000-0000-00008B1F0000}"/>
    <cellStyle name="Normal 2 4 2 2 2 2" xfId="1138" xr:uid="{00000000-0005-0000-0000-00008C1F0000}"/>
    <cellStyle name="Normal 2 4 2 2 2 2 2" xfId="1139" xr:uid="{00000000-0005-0000-0000-00008D1F0000}"/>
    <cellStyle name="Normal 2 4 2 2 2 3" xfId="1140" xr:uid="{00000000-0005-0000-0000-00008E1F0000}"/>
    <cellStyle name="Normal 2 4 2 2 3" xfId="1141" xr:uid="{00000000-0005-0000-0000-00008F1F0000}"/>
    <cellStyle name="Normal 2 4 2 2 3 2" xfId="1142" xr:uid="{00000000-0005-0000-0000-0000901F0000}"/>
    <cellStyle name="Normal 2 4 2 2 4" xfId="1143" xr:uid="{00000000-0005-0000-0000-0000911F0000}"/>
    <cellStyle name="Normal 2 4 2 3" xfId="1144" xr:uid="{00000000-0005-0000-0000-0000921F0000}"/>
    <cellStyle name="Normal 2 4 2 3 2" xfId="1145" xr:uid="{00000000-0005-0000-0000-0000931F0000}"/>
    <cellStyle name="Normal 2 4 2 3 2 2" xfId="1146" xr:uid="{00000000-0005-0000-0000-0000941F0000}"/>
    <cellStyle name="Normal 2 4 2 3 3" xfId="1147" xr:uid="{00000000-0005-0000-0000-0000951F0000}"/>
    <cellStyle name="Normal 2 4 2 4" xfId="1148" xr:uid="{00000000-0005-0000-0000-0000961F0000}"/>
    <cellStyle name="Normal 2 4 2 4 2" xfId="1149" xr:uid="{00000000-0005-0000-0000-0000971F0000}"/>
    <cellStyle name="Normal 2 4 2 5" xfId="1150" xr:uid="{00000000-0005-0000-0000-0000981F0000}"/>
    <cellStyle name="Normal 2 4 3" xfId="1151" xr:uid="{00000000-0005-0000-0000-0000991F0000}"/>
    <cellStyle name="Normal 2 4 3 2" xfId="1152" xr:uid="{00000000-0005-0000-0000-00009A1F0000}"/>
    <cellStyle name="Normal 2 4 3 2 2" xfId="1153" xr:uid="{00000000-0005-0000-0000-00009B1F0000}"/>
    <cellStyle name="Normal 2 4 3 2 2 2" xfId="1154" xr:uid="{00000000-0005-0000-0000-00009C1F0000}"/>
    <cellStyle name="Normal 2 4 3 2 3" xfId="1155" xr:uid="{00000000-0005-0000-0000-00009D1F0000}"/>
    <cellStyle name="Normal 2 4 3 3" xfId="1156" xr:uid="{00000000-0005-0000-0000-00009E1F0000}"/>
    <cellStyle name="Normal 2 4 3 3 2" xfId="1157" xr:uid="{00000000-0005-0000-0000-00009F1F0000}"/>
    <cellStyle name="Normal 2 4 3 4" xfId="1158" xr:uid="{00000000-0005-0000-0000-0000A01F0000}"/>
    <cellStyle name="Normal 2 4 4" xfId="1159" xr:uid="{00000000-0005-0000-0000-0000A11F0000}"/>
    <cellStyle name="Normal 2 4 4 2" xfId="1160" xr:uid="{00000000-0005-0000-0000-0000A21F0000}"/>
    <cellStyle name="Normal 2 4 4 2 2" xfId="1161" xr:uid="{00000000-0005-0000-0000-0000A31F0000}"/>
    <cellStyle name="Normal 2 4 4 3" xfId="1162" xr:uid="{00000000-0005-0000-0000-0000A41F0000}"/>
    <cellStyle name="Normal 2 4 5" xfId="1163" xr:uid="{00000000-0005-0000-0000-0000A51F0000}"/>
    <cellStyle name="Normal 2 4 5 2" xfId="1164" xr:uid="{00000000-0005-0000-0000-0000A61F0000}"/>
    <cellStyle name="Normal 2 4 6" xfId="1165" xr:uid="{00000000-0005-0000-0000-0000A71F0000}"/>
    <cellStyle name="Normal 2 5" xfId="1166" xr:uid="{00000000-0005-0000-0000-0000A81F0000}"/>
    <cellStyle name="Normal 2 5 2" xfId="1167" xr:uid="{00000000-0005-0000-0000-0000A91F0000}"/>
    <cellStyle name="Normal 2 5 2 2" xfId="1168" xr:uid="{00000000-0005-0000-0000-0000AA1F0000}"/>
    <cellStyle name="Normal 2 5 2 2 2" xfId="1169" xr:uid="{00000000-0005-0000-0000-0000AB1F0000}"/>
    <cellStyle name="Normal 2 5 2 2 2 2" xfId="1170" xr:uid="{00000000-0005-0000-0000-0000AC1F0000}"/>
    <cellStyle name="Normal 2 5 2 2 3" xfId="1171" xr:uid="{00000000-0005-0000-0000-0000AD1F0000}"/>
    <cellStyle name="Normal 2 5 2 3" xfId="1172" xr:uid="{00000000-0005-0000-0000-0000AE1F0000}"/>
    <cellStyle name="Normal 2 5 2 3 2" xfId="1173" xr:uid="{00000000-0005-0000-0000-0000AF1F0000}"/>
    <cellStyle name="Normal 2 5 2 4" xfId="1174" xr:uid="{00000000-0005-0000-0000-0000B01F0000}"/>
    <cellStyle name="Normal 2 5 3" xfId="1175" xr:uid="{00000000-0005-0000-0000-0000B11F0000}"/>
    <cellStyle name="Normal 2 5 3 2" xfId="1176" xr:uid="{00000000-0005-0000-0000-0000B21F0000}"/>
    <cellStyle name="Normal 2 5 3 2 2" xfId="1177" xr:uid="{00000000-0005-0000-0000-0000B31F0000}"/>
    <cellStyle name="Normal 2 5 3 3" xfId="1178" xr:uid="{00000000-0005-0000-0000-0000B41F0000}"/>
    <cellStyle name="Normal 2 5 4" xfId="1179" xr:uid="{00000000-0005-0000-0000-0000B51F0000}"/>
    <cellStyle name="Normal 2 5 4 2" xfId="1180" xr:uid="{00000000-0005-0000-0000-0000B61F0000}"/>
    <cellStyle name="Normal 2 5 5" xfId="1181" xr:uid="{00000000-0005-0000-0000-0000B71F0000}"/>
    <cellStyle name="Normal 2 6" xfId="1182" xr:uid="{00000000-0005-0000-0000-0000B81F0000}"/>
    <cellStyle name="Normal 2 6 2" xfId="1183" xr:uid="{00000000-0005-0000-0000-0000B91F0000}"/>
    <cellStyle name="Normal 2 6 2 2" xfId="1184" xr:uid="{00000000-0005-0000-0000-0000BA1F0000}"/>
    <cellStyle name="Normal 2 6 2 2 2" xfId="1185" xr:uid="{00000000-0005-0000-0000-0000BB1F0000}"/>
    <cellStyle name="Normal 2 6 2 3" xfId="1186" xr:uid="{00000000-0005-0000-0000-0000BC1F0000}"/>
    <cellStyle name="Normal 2 6 3" xfId="1187" xr:uid="{00000000-0005-0000-0000-0000BD1F0000}"/>
    <cellStyle name="Normal 2 6 3 2" xfId="1188" xr:uid="{00000000-0005-0000-0000-0000BE1F0000}"/>
    <cellStyle name="Normal 2 6 4" xfId="1189" xr:uid="{00000000-0005-0000-0000-0000BF1F0000}"/>
    <cellStyle name="Normal 2 7" xfId="1190" xr:uid="{00000000-0005-0000-0000-0000C01F0000}"/>
    <cellStyle name="Normal 2 7 2" xfId="1191" xr:uid="{00000000-0005-0000-0000-0000C11F0000}"/>
    <cellStyle name="Normal 2 7 2 2" xfId="1192" xr:uid="{00000000-0005-0000-0000-0000C21F0000}"/>
    <cellStyle name="Normal 2 7 3" xfId="1193" xr:uid="{00000000-0005-0000-0000-0000C31F0000}"/>
    <cellStyle name="Normal 2 8" xfId="1194" xr:uid="{00000000-0005-0000-0000-0000C41F0000}"/>
    <cellStyle name="Normal 2 8 2" xfId="1195" xr:uid="{00000000-0005-0000-0000-0000C51F0000}"/>
    <cellStyle name="Normal 2 8 3" xfId="10016" xr:uid="{00000000-0005-0000-0000-0000C61F0000}"/>
    <cellStyle name="Normal 2 9" xfId="1196" xr:uid="{00000000-0005-0000-0000-0000C71F0000}"/>
    <cellStyle name="Normal 2 9 2" xfId="10017" xr:uid="{00000000-0005-0000-0000-0000C81F0000}"/>
    <cellStyle name="Normal 2 9 3" xfId="10018" xr:uid="{00000000-0005-0000-0000-0000C91F0000}"/>
    <cellStyle name="Normal 2_12-10 Form 1 Filing and supporting papers-Nivision Revised" xfId="10019" xr:uid="{00000000-0005-0000-0000-0000CA1F0000}"/>
    <cellStyle name="Normal 20" xfId="10020" xr:uid="{00000000-0005-0000-0000-0000CB1F0000}"/>
    <cellStyle name="Normal 20 2" xfId="10021" xr:uid="{00000000-0005-0000-0000-0000CC1F0000}"/>
    <cellStyle name="Normal 20 2 2" xfId="10022" xr:uid="{00000000-0005-0000-0000-0000CD1F0000}"/>
    <cellStyle name="Normal 20 2 2 2" xfId="10023" xr:uid="{00000000-0005-0000-0000-0000CE1F0000}"/>
    <cellStyle name="Normal 20 2 2 2 2" xfId="10024" xr:uid="{00000000-0005-0000-0000-0000CF1F0000}"/>
    <cellStyle name="Normal 20 2 2 3" xfId="10025" xr:uid="{00000000-0005-0000-0000-0000D01F0000}"/>
    <cellStyle name="Normal 20 2 3" xfId="10026" xr:uid="{00000000-0005-0000-0000-0000D11F0000}"/>
    <cellStyle name="Normal 20 2 3 2" xfId="10027" xr:uid="{00000000-0005-0000-0000-0000D21F0000}"/>
    <cellStyle name="Normal 20 2 4" xfId="10028" xr:uid="{00000000-0005-0000-0000-0000D31F0000}"/>
    <cellStyle name="Normal 20 3" xfId="10029" xr:uid="{00000000-0005-0000-0000-0000D41F0000}"/>
    <cellStyle name="Normal 20 3 2" xfId="10030" xr:uid="{00000000-0005-0000-0000-0000D51F0000}"/>
    <cellStyle name="Normal 20 3 2 2" xfId="10031" xr:uid="{00000000-0005-0000-0000-0000D61F0000}"/>
    <cellStyle name="Normal 20 3 3" xfId="10032" xr:uid="{00000000-0005-0000-0000-0000D71F0000}"/>
    <cellStyle name="Normal 20 4" xfId="10033" xr:uid="{00000000-0005-0000-0000-0000D81F0000}"/>
    <cellStyle name="Normal 20 4 2" xfId="10034" xr:uid="{00000000-0005-0000-0000-0000D91F0000}"/>
    <cellStyle name="Normal 20 5" xfId="10035" xr:uid="{00000000-0005-0000-0000-0000DA1F0000}"/>
    <cellStyle name="Normal 20 6" xfId="10036" xr:uid="{00000000-0005-0000-0000-0000DB1F0000}"/>
    <cellStyle name="Normal 200" xfId="10037" xr:uid="{00000000-0005-0000-0000-0000DC1F0000}"/>
    <cellStyle name="Normal 201" xfId="10038" xr:uid="{00000000-0005-0000-0000-0000DD1F0000}"/>
    <cellStyle name="Normal 202" xfId="10039" xr:uid="{00000000-0005-0000-0000-0000DE1F0000}"/>
    <cellStyle name="Normal 203" xfId="10040" xr:uid="{00000000-0005-0000-0000-0000DF1F0000}"/>
    <cellStyle name="Normal 204" xfId="10041" xr:uid="{00000000-0005-0000-0000-0000E01F0000}"/>
    <cellStyle name="Normal 205" xfId="10042" xr:uid="{00000000-0005-0000-0000-0000E11F0000}"/>
    <cellStyle name="Normal 206" xfId="10043" xr:uid="{00000000-0005-0000-0000-0000E21F0000}"/>
    <cellStyle name="Normal 207" xfId="10044" xr:uid="{00000000-0005-0000-0000-0000E31F0000}"/>
    <cellStyle name="Normal 208" xfId="10045" xr:uid="{00000000-0005-0000-0000-0000E41F0000}"/>
    <cellStyle name="Normal 209" xfId="10046" xr:uid="{00000000-0005-0000-0000-0000E51F0000}"/>
    <cellStyle name="Normal 21" xfId="10047" xr:uid="{00000000-0005-0000-0000-0000E61F0000}"/>
    <cellStyle name="Normal 21 2" xfId="10048" xr:uid="{00000000-0005-0000-0000-0000E71F0000}"/>
    <cellStyle name="Normal 21 2 2" xfId="10049" xr:uid="{00000000-0005-0000-0000-0000E81F0000}"/>
    <cellStyle name="Normal 21 2 2 2" xfId="10050" xr:uid="{00000000-0005-0000-0000-0000E91F0000}"/>
    <cellStyle name="Normal 21 2 2 2 2" xfId="10051" xr:uid="{00000000-0005-0000-0000-0000EA1F0000}"/>
    <cellStyle name="Normal 21 2 2 3" xfId="10052" xr:uid="{00000000-0005-0000-0000-0000EB1F0000}"/>
    <cellStyle name="Normal 21 2 3" xfId="10053" xr:uid="{00000000-0005-0000-0000-0000EC1F0000}"/>
    <cellStyle name="Normal 21 2 3 2" xfId="10054" xr:uid="{00000000-0005-0000-0000-0000ED1F0000}"/>
    <cellStyle name="Normal 21 2 4" xfId="10055" xr:uid="{00000000-0005-0000-0000-0000EE1F0000}"/>
    <cellStyle name="Normal 21 3" xfId="10056" xr:uid="{00000000-0005-0000-0000-0000EF1F0000}"/>
    <cellStyle name="Normal 21 3 2" xfId="10057" xr:uid="{00000000-0005-0000-0000-0000F01F0000}"/>
    <cellStyle name="Normal 21 3 2 2" xfId="10058" xr:uid="{00000000-0005-0000-0000-0000F11F0000}"/>
    <cellStyle name="Normal 21 3 3" xfId="10059" xr:uid="{00000000-0005-0000-0000-0000F21F0000}"/>
    <cellStyle name="Normal 21 4" xfId="10060" xr:uid="{00000000-0005-0000-0000-0000F31F0000}"/>
    <cellStyle name="Normal 21 4 2" xfId="10061" xr:uid="{00000000-0005-0000-0000-0000F41F0000}"/>
    <cellStyle name="Normal 21 5" xfId="10062" xr:uid="{00000000-0005-0000-0000-0000F51F0000}"/>
    <cellStyle name="Normal 21 6" xfId="10063" xr:uid="{00000000-0005-0000-0000-0000F61F0000}"/>
    <cellStyle name="Normal 21 7" xfId="10064" xr:uid="{00000000-0005-0000-0000-0000F71F0000}"/>
    <cellStyle name="Normal 210" xfId="10065" xr:uid="{00000000-0005-0000-0000-0000F81F0000}"/>
    <cellStyle name="Normal 211" xfId="10066" xr:uid="{00000000-0005-0000-0000-0000F91F0000}"/>
    <cellStyle name="Normal 212" xfId="10067" xr:uid="{00000000-0005-0000-0000-0000FA1F0000}"/>
    <cellStyle name="Normal 213" xfId="10068" xr:uid="{00000000-0005-0000-0000-0000FB1F0000}"/>
    <cellStyle name="Normal 214" xfId="10069" xr:uid="{00000000-0005-0000-0000-0000FC1F0000}"/>
    <cellStyle name="Normal 215" xfId="10070" xr:uid="{00000000-0005-0000-0000-0000FD1F0000}"/>
    <cellStyle name="Normal 216" xfId="10071" xr:uid="{00000000-0005-0000-0000-0000FE1F0000}"/>
    <cellStyle name="Normal 217" xfId="10072" xr:uid="{00000000-0005-0000-0000-0000FF1F0000}"/>
    <cellStyle name="Normal 218" xfId="10073" xr:uid="{00000000-0005-0000-0000-000000200000}"/>
    <cellStyle name="Normal 219" xfId="10074" xr:uid="{00000000-0005-0000-0000-000001200000}"/>
    <cellStyle name="Normal 22" xfId="10075" xr:uid="{00000000-0005-0000-0000-000002200000}"/>
    <cellStyle name="Normal 22 2" xfId="10076" xr:uid="{00000000-0005-0000-0000-000003200000}"/>
    <cellStyle name="Normal 22 2 2" xfId="10077" xr:uid="{00000000-0005-0000-0000-000004200000}"/>
    <cellStyle name="Normal 22 2 2 2" xfId="10078" xr:uid="{00000000-0005-0000-0000-000005200000}"/>
    <cellStyle name="Normal 22 2 2 2 2" xfId="10079" xr:uid="{00000000-0005-0000-0000-000006200000}"/>
    <cellStyle name="Normal 22 2 2 3" xfId="10080" xr:uid="{00000000-0005-0000-0000-000007200000}"/>
    <cellStyle name="Normal 22 2 3" xfId="10081" xr:uid="{00000000-0005-0000-0000-000008200000}"/>
    <cellStyle name="Normal 22 2 3 2" xfId="10082" xr:uid="{00000000-0005-0000-0000-000009200000}"/>
    <cellStyle name="Normal 22 2 4" xfId="10083" xr:uid="{00000000-0005-0000-0000-00000A200000}"/>
    <cellStyle name="Normal 22 3" xfId="10084" xr:uid="{00000000-0005-0000-0000-00000B200000}"/>
    <cellStyle name="Normal 22 3 2" xfId="10085" xr:uid="{00000000-0005-0000-0000-00000C200000}"/>
    <cellStyle name="Normal 22 3 2 2" xfId="10086" xr:uid="{00000000-0005-0000-0000-00000D200000}"/>
    <cellStyle name="Normal 22 3 3" xfId="10087" xr:uid="{00000000-0005-0000-0000-00000E200000}"/>
    <cellStyle name="Normal 22 4" xfId="10088" xr:uid="{00000000-0005-0000-0000-00000F200000}"/>
    <cellStyle name="Normal 22 4 2" xfId="10089" xr:uid="{00000000-0005-0000-0000-000010200000}"/>
    <cellStyle name="Normal 22 5" xfId="10090" xr:uid="{00000000-0005-0000-0000-000011200000}"/>
    <cellStyle name="Normal 22 6" xfId="10091" xr:uid="{00000000-0005-0000-0000-000012200000}"/>
    <cellStyle name="Normal 22 7" xfId="10092" xr:uid="{00000000-0005-0000-0000-000013200000}"/>
    <cellStyle name="Normal 220" xfId="10093" xr:uid="{00000000-0005-0000-0000-000014200000}"/>
    <cellStyle name="Normal 221" xfId="10094" xr:uid="{00000000-0005-0000-0000-000015200000}"/>
    <cellStyle name="Normal 222" xfId="10095" xr:uid="{00000000-0005-0000-0000-000016200000}"/>
    <cellStyle name="Normal 223" xfId="10096" xr:uid="{00000000-0005-0000-0000-000017200000}"/>
    <cellStyle name="Normal 224" xfId="10097" xr:uid="{00000000-0005-0000-0000-000018200000}"/>
    <cellStyle name="Normal 225" xfId="10098" xr:uid="{00000000-0005-0000-0000-000019200000}"/>
    <cellStyle name="Normal 226" xfId="10099" xr:uid="{00000000-0005-0000-0000-00001A200000}"/>
    <cellStyle name="Normal 227" xfId="10100" xr:uid="{00000000-0005-0000-0000-00001B200000}"/>
    <cellStyle name="Normal 228" xfId="10101" xr:uid="{00000000-0005-0000-0000-00001C200000}"/>
    <cellStyle name="Normal 229" xfId="3226" xr:uid="{00000000-0005-0000-0000-00001D200000}"/>
    <cellStyle name="Normal 23" xfId="10102" xr:uid="{00000000-0005-0000-0000-00001E200000}"/>
    <cellStyle name="Normal 23 2" xfId="10103" xr:uid="{00000000-0005-0000-0000-00001F200000}"/>
    <cellStyle name="Normal 23 2 2" xfId="10104" xr:uid="{00000000-0005-0000-0000-000020200000}"/>
    <cellStyle name="Normal 23 2 2 2" xfId="10105" xr:uid="{00000000-0005-0000-0000-000021200000}"/>
    <cellStyle name="Normal 23 2 2 2 2" xfId="10106" xr:uid="{00000000-0005-0000-0000-000022200000}"/>
    <cellStyle name="Normal 23 2 2 3" xfId="10107" xr:uid="{00000000-0005-0000-0000-000023200000}"/>
    <cellStyle name="Normal 23 2 3" xfId="10108" xr:uid="{00000000-0005-0000-0000-000024200000}"/>
    <cellStyle name="Normal 23 2 3 2" xfId="10109" xr:uid="{00000000-0005-0000-0000-000025200000}"/>
    <cellStyle name="Normal 23 2 4" xfId="10110" xr:uid="{00000000-0005-0000-0000-000026200000}"/>
    <cellStyle name="Normal 23 3" xfId="10111" xr:uid="{00000000-0005-0000-0000-000027200000}"/>
    <cellStyle name="Normal 23 3 2" xfId="10112" xr:uid="{00000000-0005-0000-0000-000028200000}"/>
    <cellStyle name="Normal 23 3 2 2" xfId="10113" xr:uid="{00000000-0005-0000-0000-000029200000}"/>
    <cellStyle name="Normal 23 3 3" xfId="10114" xr:uid="{00000000-0005-0000-0000-00002A200000}"/>
    <cellStyle name="Normal 23 4" xfId="10115" xr:uid="{00000000-0005-0000-0000-00002B200000}"/>
    <cellStyle name="Normal 23 4 2" xfId="10116" xr:uid="{00000000-0005-0000-0000-00002C200000}"/>
    <cellStyle name="Normal 23 5" xfId="10117" xr:uid="{00000000-0005-0000-0000-00002D200000}"/>
    <cellStyle name="Normal 23 6" xfId="10118" xr:uid="{00000000-0005-0000-0000-00002E200000}"/>
    <cellStyle name="Normal 23 7" xfId="10119" xr:uid="{00000000-0005-0000-0000-00002F200000}"/>
    <cellStyle name="Normal 230" xfId="16885" xr:uid="{00000000-0005-0000-0000-000030200000}"/>
    <cellStyle name="Normal 24" xfId="10120" xr:uid="{00000000-0005-0000-0000-000031200000}"/>
    <cellStyle name="Normal 24 2" xfId="10121" xr:uid="{00000000-0005-0000-0000-000032200000}"/>
    <cellStyle name="Normal 24 3" xfId="10122" xr:uid="{00000000-0005-0000-0000-000033200000}"/>
    <cellStyle name="Normal 25" xfId="10123" xr:uid="{00000000-0005-0000-0000-000034200000}"/>
    <cellStyle name="Normal 25 2" xfId="10124" xr:uid="{00000000-0005-0000-0000-000035200000}"/>
    <cellStyle name="Normal 25 2 2" xfId="10125" xr:uid="{00000000-0005-0000-0000-000036200000}"/>
    <cellStyle name="Normal 25 2 3" xfId="10126" xr:uid="{00000000-0005-0000-0000-000037200000}"/>
    <cellStyle name="Normal 25 3" xfId="10127" xr:uid="{00000000-0005-0000-0000-000038200000}"/>
    <cellStyle name="Normal 25 4" xfId="10128" xr:uid="{00000000-0005-0000-0000-000039200000}"/>
    <cellStyle name="Normal 26" xfId="10129" xr:uid="{00000000-0005-0000-0000-00003A200000}"/>
    <cellStyle name="Normal 26 2" xfId="10130" xr:uid="{00000000-0005-0000-0000-00003B200000}"/>
    <cellStyle name="Normal 26 2 2" xfId="10131" xr:uid="{00000000-0005-0000-0000-00003C200000}"/>
    <cellStyle name="Normal 26 3" xfId="10132" xr:uid="{00000000-0005-0000-0000-00003D200000}"/>
    <cellStyle name="Normal 26 3 2" xfId="10133" xr:uid="{00000000-0005-0000-0000-00003E200000}"/>
    <cellStyle name="Normal 26 4" xfId="10134" xr:uid="{00000000-0005-0000-0000-00003F200000}"/>
    <cellStyle name="Normal 27" xfId="10135" xr:uid="{00000000-0005-0000-0000-000040200000}"/>
    <cellStyle name="Normal 27 2" xfId="10136" xr:uid="{00000000-0005-0000-0000-000041200000}"/>
    <cellStyle name="Normal 27 2 10" xfId="10137" xr:uid="{00000000-0005-0000-0000-000042200000}"/>
    <cellStyle name="Normal 27 2 11" xfId="10138" xr:uid="{00000000-0005-0000-0000-000043200000}"/>
    <cellStyle name="Normal 27 2 2" xfId="10139" xr:uid="{00000000-0005-0000-0000-000044200000}"/>
    <cellStyle name="Normal 27 2 2 2" xfId="10140" xr:uid="{00000000-0005-0000-0000-000045200000}"/>
    <cellStyle name="Normal 27 2 2 2 2" xfId="10141" xr:uid="{00000000-0005-0000-0000-000046200000}"/>
    <cellStyle name="Normal 27 2 2 3" xfId="10142" xr:uid="{00000000-0005-0000-0000-000047200000}"/>
    <cellStyle name="Normal 27 2 2 4" xfId="10143" xr:uid="{00000000-0005-0000-0000-000048200000}"/>
    <cellStyle name="Normal 27 2 3" xfId="10144" xr:uid="{00000000-0005-0000-0000-000049200000}"/>
    <cellStyle name="Normal 27 2 3 2" xfId="10145" xr:uid="{00000000-0005-0000-0000-00004A200000}"/>
    <cellStyle name="Normal 27 2 4" xfId="10146" xr:uid="{00000000-0005-0000-0000-00004B200000}"/>
    <cellStyle name="Normal 27 2 4 2" xfId="10147" xr:uid="{00000000-0005-0000-0000-00004C200000}"/>
    <cellStyle name="Normal 27 2 5" xfId="10148" xr:uid="{00000000-0005-0000-0000-00004D200000}"/>
    <cellStyle name="Normal 27 2 5 2" xfId="10149" xr:uid="{00000000-0005-0000-0000-00004E200000}"/>
    <cellStyle name="Normal 27 2 6" xfId="10150" xr:uid="{00000000-0005-0000-0000-00004F200000}"/>
    <cellStyle name="Normal 27 2 7" xfId="10151" xr:uid="{00000000-0005-0000-0000-000050200000}"/>
    <cellStyle name="Normal 27 2 8" xfId="10152" xr:uid="{00000000-0005-0000-0000-000051200000}"/>
    <cellStyle name="Normal 27 2 9" xfId="10153" xr:uid="{00000000-0005-0000-0000-000052200000}"/>
    <cellStyle name="Normal 27 3" xfId="10154" xr:uid="{00000000-0005-0000-0000-000053200000}"/>
    <cellStyle name="Normal 27 3 2" xfId="10155" xr:uid="{00000000-0005-0000-0000-000054200000}"/>
    <cellStyle name="Normal 27 3 3" xfId="10156" xr:uid="{00000000-0005-0000-0000-000055200000}"/>
    <cellStyle name="Normal 27 3 4" xfId="10157" xr:uid="{00000000-0005-0000-0000-000056200000}"/>
    <cellStyle name="Normal 27 3 5" xfId="10158" xr:uid="{00000000-0005-0000-0000-000057200000}"/>
    <cellStyle name="Normal 27 4" xfId="10159" xr:uid="{00000000-0005-0000-0000-000058200000}"/>
    <cellStyle name="Normal 27 4 2" xfId="10160" xr:uid="{00000000-0005-0000-0000-000059200000}"/>
    <cellStyle name="Normal 27 5" xfId="10161" xr:uid="{00000000-0005-0000-0000-00005A200000}"/>
    <cellStyle name="Normal 27 6" xfId="10162" xr:uid="{00000000-0005-0000-0000-00005B200000}"/>
    <cellStyle name="Normal 28" xfId="10163" xr:uid="{00000000-0005-0000-0000-00005C200000}"/>
    <cellStyle name="Normal 28 2" xfId="10164" xr:uid="{00000000-0005-0000-0000-00005D200000}"/>
    <cellStyle name="Normal 28 2 10" xfId="10165" xr:uid="{00000000-0005-0000-0000-00005E200000}"/>
    <cellStyle name="Normal 28 2 11" xfId="10166" xr:uid="{00000000-0005-0000-0000-00005F200000}"/>
    <cellStyle name="Normal 28 2 2" xfId="10167" xr:uid="{00000000-0005-0000-0000-000060200000}"/>
    <cellStyle name="Normal 28 2 2 2" xfId="10168" xr:uid="{00000000-0005-0000-0000-000061200000}"/>
    <cellStyle name="Normal 28 2 2 2 2" xfId="10169" xr:uid="{00000000-0005-0000-0000-000062200000}"/>
    <cellStyle name="Normal 28 2 2 3" xfId="10170" xr:uid="{00000000-0005-0000-0000-000063200000}"/>
    <cellStyle name="Normal 28 2 2 4" xfId="10171" xr:uid="{00000000-0005-0000-0000-000064200000}"/>
    <cellStyle name="Normal 28 2 3" xfId="10172" xr:uid="{00000000-0005-0000-0000-000065200000}"/>
    <cellStyle name="Normal 28 2 3 2" xfId="10173" xr:uid="{00000000-0005-0000-0000-000066200000}"/>
    <cellStyle name="Normal 28 2 4" xfId="10174" xr:uid="{00000000-0005-0000-0000-000067200000}"/>
    <cellStyle name="Normal 28 2 4 2" xfId="10175" xr:uid="{00000000-0005-0000-0000-000068200000}"/>
    <cellStyle name="Normal 28 2 5" xfId="10176" xr:uid="{00000000-0005-0000-0000-000069200000}"/>
    <cellStyle name="Normal 28 2 5 2" xfId="10177" xr:uid="{00000000-0005-0000-0000-00006A200000}"/>
    <cellStyle name="Normal 28 2 6" xfId="10178" xr:uid="{00000000-0005-0000-0000-00006B200000}"/>
    <cellStyle name="Normal 28 2 7" xfId="10179" xr:uid="{00000000-0005-0000-0000-00006C200000}"/>
    <cellStyle name="Normal 28 2 8" xfId="10180" xr:uid="{00000000-0005-0000-0000-00006D200000}"/>
    <cellStyle name="Normal 28 2 9" xfId="10181" xr:uid="{00000000-0005-0000-0000-00006E200000}"/>
    <cellStyle name="Normal 28 3" xfId="10182" xr:uid="{00000000-0005-0000-0000-00006F200000}"/>
    <cellStyle name="Normal 28 3 2" xfId="10183" xr:uid="{00000000-0005-0000-0000-000070200000}"/>
    <cellStyle name="Normal 28 3 3" xfId="10184" xr:uid="{00000000-0005-0000-0000-000071200000}"/>
    <cellStyle name="Normal 28 3 4" xfId="10185" xr:uid="{00000000-0005-0000-0000-000072200000}"/>
    <cellStyle name="Normal 28 3 5" xfId="10186" xr:uid="{00000000-0005-0000-0000-000073200000}"/>
    <cellStyle name="Normal 28 4" xfId="10187" xr:uid="{00000000-0005-0000-0000-000074200000}"/>
    <cellStyle name="Normal 28 5" xfId="10188" xr:uid="{00000000-0005-0000-0000-000075200000}"/>
    <cellStyle name="Normal 28 6" xfId="10189" xr:uid="{00000000-0005-0000-0000-000076200000}"/>
    <cellStyle name="Normal 29" xfId="10190" xr:uid="{00000000-0005-0000-0000-000077200000}"/>
    <cellStyle name="Normal 29 2" xfId="10191" xr:uid="{00000000-0005-0000-0000-000078200000}"/>
    <cellStyle name="Normal 29 2 10" xfId="10192" xr:uid="{00000000-0005-0000-0000-000079200000}"/>
    <cellStyle name="Normal 29 2 11" xfId="10193" xr:uid="{00000000-0005-0000-0000-00007A200000}"/>
    <cellStyle name="Normal 29 2 2" xfId="10194" xr:uid="{00000000-0005-0000-0000-00007B200000}"/>
    <cellStyle name="Normal 29 2 2 2" xfId="10195" xr:uid="{00000000-0005-0000-0000-00007C200000}"/>
    <cellStyle name="Normal 29 2 2 2 2" xfId="10196" xr:uid="{00000000-0005-0000-0000-00007D200000}"/>
    <cellStyle name="Normal 29 2 2 3" xfId="10197" xr:uid="{00000000-0005-0000-0000-00007E200000}"/>
    <cellStyle name="Normal 29 2 2 4" xfId="10198" xr:uid="{00000000-0005-0000-0000-00007F200000}"/>
    <cellStyle name="Normal 29 2 3" xfId="10199" xr:uid="{00000000-0005-0000-0000-000080200000}"/>
    <cellStyle name="Normal 29 2 3 2" xfId="10200" xr:uid="{00000000-0005-0000-0000-000081200000}"/>
    <cellStyle name="Normal 29 2 4" xfId="10201" xr:uid="{00000000-0005-0000-0000-000082200000}"/>
    <cellStyle name="Normal 29 2 4 2" xfId="10202" xr:uid="{00000000-0005-0000-0000-000083200000}"/>
    <cellStyle name="Normal 29 2 5" xfId="10203" xr:uid="{00000000-0005-0000-0000-000084200000}"/>
    <cellStyle name="Normal 29 2 5 2" xfId="10204" xr:uid="{00000000-0005-0000-0000-000085200000}"/>
    <cellStyle name="Normal 29 2 6" xfId="10205" xr:uid="{00000000-0005-0000-0000-000086200000}"/>
    <cellStyle name="Normal 29 2 7" xfId="10206" xr:uid="{00000000-0005-0000-0000-000087200000}"/>
    <cellStyle name="Normal 29 2 8" xfId="10207" xr:uid="{00000000-0005-0000-0000-000088200000}"/>
    <cellStyle name="Normal 29 2 9" xfId="10208" xr:uid="{00000000-0005-0000-0000-000089200000}"/>
    <cellStyle name="Normal 29 3" xfId="10209" xr:uid="{00000000-0005-0000-0000-00008A200000}"/>
    <cellStyle name="Normal 29 3 2" xfId="10210" xr:uid="{00000000-0005-0000-0000-00008B200000}"/>
    <cellStyle name="Normal 29 3 3" xfId="10211" xr:uid="{00000000-0005-0000-0000-00008C200000}"/>
    <cellStyle name="Normal 29 3 4" xfId="10212" xr:uid="{00000000-0005-0000-0000-00008D200000}"/>
    <cellStyle name="Normal 29 3 5" xfId="10213" xr:uid="{00000000-0005-0000-0000-00008E200000}"/>
    <cellStyle name="Normal 29 4" xfId="10214" xr:uid="{00000000-0005-0000-0000-00008F200000}"/>
    <cellStyle name="Normal 29 5" xfId="10215" xr:uid="{00000000-0005-0000-0000-000090200000}"/>
    <cellStyle name="Normal 29 6" xfId="10216" xr:uid="{00000000-0005-0000-0000-000091200000}"/>
    <cellStyle name="Normal 3" xfId="8" xr:uid="{00000000-0005-0000-0000-000092200000}"/>
    <cellStyle name="Normal 3 10" xfId="1197" xr:uid="{00000000-0005-0000-0000-000093200000}"/>
    <cellStyle name="Normal 3 10 2" xfId="10217" xr:uid="{00000000-0005-0000-0000-000094200000}"/>
    <cellStyle name="Normal 3 10 3" xfId="10218" xr:uid="{00000000-0005-0000-0000-000095200000}"/>
    <cellStyle name="Normal 3 11" xfId="10219" xr:uid="{00000000-0005-0000-0000-000096200000}"/>
    <cellStyle name="Normal 3 11 2" xfId="10220" xr:uid="{00000000-0005-0000-0000-000097200000}"/>
    <cellStyle name="Normal 3 12" xfId="10221" xr:uid="{00000000-0005-0000-0000-000098200000}"/>
    <cellStyle name="Normal 3 12 2" xfId="10222" xr:uid="{00000000-0005-0000-0000-000099200000}"/>
    <cellStyle name="Normal 3 13" xfId="10223" xr:uid="{00000000-0005-0000-0000-00009A200000}"/>
    <cellStyle name="Normal 3 13 2" xfId="10224" xr:uid="{00000000-0005-0000-0000-00009B200000}"/>
    <cellStyle name="Normal 3 14" xfId="10225" xr:uid="{00000000-0005-0000-0000-00009C200000}"/>
    <cellStyle name="Normal 3 15" xfId="10226" xr:uid="{00000000-0005-0000-0000-00009D200000}"/>
    <cellStyle name="Normal 3 16" xfId="10227" xr:uid="{00000000-0005-0000-0000-00009E200000}"/>
    <cellStyle name="Normal 3 2" xfId="15" xr:uid="{00000000-0005-0000-0000-00009F200000}"/>
    <cellStyle name="Normal 3 2 10" xfId="10228" xr:uid="{00000000-0005-0000-0000-0000A0200000}"/>
    <cellStyle name="Normal 3 2 11" xfId="10229" xr:uid="{00000000-0005-0000-0000-0000A1200000}"/>
    <cellStyle name="Normal 3 2 12" xfId="10230" xr:uid="{00000000-0005-0000-0000-0000A2200000}"/>
    <cellStyle name="Normal 3 2 13" xfId="10231" xr:uid="{00000000-0005-0000-0000-0000A3200000}"/>
    <cellStyle name="Normal 3 2 14" xfId="10232" xr:uid="{00000000-0005-0000-0000-0000A4200000}"/>
    <cellStyle name="Normal 3 2 15" xfId="10233" xr:uid="{00000000-0005-0000-0000-0000A5200000}"/>
    <cellStyle name="Normal 3 2 16" xfId="44" xr:uid="{00000000-0005-0000-0000-0000A6200000}"/>
    <cellStyle name="Normal 3 2 2" xfId="1198" xr:uid="{00000000-0005-0000-0000-0000A7200000}"/>
    <cellStyle name="Normal 3 2 2 10" xfId="10234" xr:uid="{00000000-0005-0000-0000-0000A8200000}"/>
    <cellStyle name="Normal 3 2 2 11" xfId="10235" xr:uid="{00000000-0005-0000-0000-0000A9200000}"/>
    <cellStyle name="Normal 3 2 2 12" xfId="10236" xr:uid="{00000000-0005-0000-0000-0000AA200000}"/>
    <cellStyle name="Normal 3 2 2 13" xfId="10237" xr:uid="{00000000-0005-0000-0000-0000AB200000}"/>
    <cellStyle name="Normal 3 2 2 14" xfId="10238" xr:uid="{00000000-0005-0000-0000-0000AC200000}"/>
    <cellStyle name="Normal 3 2 2 2" xfId="1199" xr:uid="{00000000-0005-0000-0000-0000AD200000}"/>
    <cellStyle name="Normal 3 2 2 2 10" xfId="10239" xr:uid="{00000000-0005-0000-0000-0000AE200000}"/>
    <cellStyle name="Normal 3 2 2 2 11" xfId="10240" xr:uid="{00000000-0005-0000-0000-0000AF200000}"/>
    <cellStyle name="Normal 3 2 2 2 12" xfId="10241" xr:uid="{00000000-0005-0000-0000-0000B0200000}"/>
    <cellStyle name="Normal 3 2 2 2 13" xfId="10242" xr:uid="{00000000-0005-0000-0000-0000B1200000}"/>
    <cellStyle name="Normal 3 2 2 2 2" xfId="1200" xr:uid="{00000000-0005-0000-0000-0000B2200000}"/>
    <cellStyle name="Normal 3 2 2 2 2 10" xfId="10243" xr:uid="{00000000-0005-0000-0000-0000B3200000}"/>
    <cellStyle name="Normal 3 2 2 2 2 11" xfId="10244" xr:uid="{00000000-0005-0000-0000-0000B4200000}"/>
    <cellStyle name="Normal 3 2 2 2 2 2" xfId="1201" xr:uid="{00000000-0005-0000-0000-0000B5200000}"/>
    <cellStyle name="Normal 3 2 2 2 2 2 2" xfId="1202" xr:uid="{00000000-0005-0000-0000-0000B6200000}"/>
    <cellStyle name="Normal 3 2 2 2 2 2 2 2" xfId="1203" xr:uid="{00000000-0005-0000-0000-0000B7200000}"/>
    <cellStyle name="Normal 3 2 2 2 2 2 2 2 2" xfId="1204" xr:uid="{00000000-0005-0000-0000-0000B8200000}"/>
    <cellStyle name="Normal 3 2 2 2 2 2 2 3" xfId="1205" xr:uid="{00000000-0005-0000-0000-0000B9200000}"/>
    <cellStyle name="Normal 3 2 2 2 2 2 3" xfId="1206" xr:uid="{00000000-0005-0000-0000-0000BA200000}"/>
    <cellStyle name="Normal 3 2 2 2 2 2 3 2" xfId="1207" xr:uid="{00000000-0005-0000-0000-0000BB200000}"/>
    <cellStyle name="Normal 3 2 2 2 2 2 4" xfId="1208" xr:uid="{00000000-0005-0000-0000-0000BC200000}"/>
    <cellStyle name="Normal 3 2 2 2 2 2 5" xfId="10245" xr:uid="{00000000-0005-0000-0000-0000BD200000}"/>
    <cellStyle name="Normal 3 2 2 2 2 2 6" xfId="10246" xr:uid="{00000000-0005-0000-0000-0000BE200000}"/>
    <cellStyle name="Normal 3 2 2 2 2 2 7" xfId="10247" xr:uid="{00000000-0005-0000-0000-0000BF200000}"/>
    <cellStyle name="Normal 3 2 2 2 2 2 8" xfId="10248" xr:uid="{00000000-0005-0000-0000-0000C0200000}"/>
    <cellStyle name="Normal 3 2 2 2 2 3" xfId="1209" xr:uid="{00000000-0005-0000-0000-0000C1200000}"/>
    <cellStyle name="Normal 3 2 2 2 2 3 2" xfId="1210" xr:uid="{00000000-0005-0000-0000-0000C2200000}"/>
    <cellStyle name="Normal 3 2 2 2 2 3 2 2" xfId="1211" xr:uid="{00000000-0005-0000-0000-0000C3200000}"/>
    <cellStyle name="Normal 3 2 2 2 2 3 3" xfId="1212" xr:uid="{00000000-0005-0000-0000-0000C4200000}"/>
    <cellStyle name="Normal 3 2 2 2 2 3 4" xfId="10249" xr:uid="{00000000-0005-0000-0000-0000C5200000}"/>
    <cellStyle name="Normal 3 2 2 2 2 4" xfId="1213" xr:uid="{00000000-0005-0000-0000-0000C6200000}"/>
    <cellStyle name="Normal 3 2 2 2 2 4 2" xfId="1214" xr:uid="{00000000-0005-0000-0000-0000C7200000}"/>
    <cellStyle name="Normal 3 2 2 2 2 5" xfId="1215" xr:uid="{00000000-0005-0000-0000-0000C8200000}"/>
    <cellStyle name="Normal 3 2 2 2 2 5 2" xfId="10250" xr:uid="{00000000-0005-0000-0000-0000C9200000}"/>
    <cellStyle name="Normal 3 2 2 2 2 6" xfId="10251" xr:uid="{00000000-0005-0000-0000-0000CA200000}"/>
    <cellStyle name="Normal 3 2 2 2 2 6 2" xfId="10252" xr:uid="{00000000-0005-0000-0000-0000CB200000}"/>
    <cellStyle name="Normal 3 2 2 2 2 7" xfId="10253" xr:uid="{00000000-0005-0000-0000-0000CC200000}"/>
    <cellStyle name="Normal 3 2 2 2 2 8" xfId="10254" xr:uid="{00000000-0005-0000-0000-0000CD200000}"/>
    <cellStyle name="Normal 3 2 2 2 2 9" xfId="10255" xr:uid="{00000000-0005-0000-0000-0000CE200000}"/>
    <cellStyle name="Normal 3 2 2 2 3" xfId="1216" xr:uid="{00000000-0005-0000-0000-0000CF200000}"/>
    <cellStyle name="Normal 3 2 2 2 3 2" xfId="1217" xr:uid="{00000000-0005-0000-0000-0000D0200000}"/>
    <cellStyle name="Normal 3 2 2 2 3 2 2" xfId="1218" xr:uid="{00000000-0005-0000-0000-0000D1200000}"/>
    <cellStyle name="Normal 3 2 2 2 3 2 2 2" xfId="1219" xr:uid="{00000000-0005-0000-0000-0000D2200000}"/>
    <cellStyle name="Normal 3 2 2 2 3 2 3" xfId="1220" xr:uid="{00000000-0005-0000-0000-0000D3200000}"/>
    <cellStyle name="Normal 3 2 2 2 3 3" xfId="1221" xr:uid="{00000000-0005-0000-0000-0000D4200000}"/>
    <cellStyle name="Normal 3 2 2 2 3 3 2" xfId="1222" xr:uid="{00000000-0005-0000-0000-0000D5200000}"/>
    <cellStyle name="Normal 3 2 2 2 3 4" xfId="1223" xr:uid="{00000000-0005-0000-0000-0000D6200000}"/>
    <cellStyle name="Normal 3 2 2 2 3 5" xfId="10256" xr:uid="{00000000-0005-0000-0000-0000D7200000}"/>
    <cellStyle name="Normal 3 2 2 2 3 6" xfId="10257" xr:uid="{00000000-0005-0000-0000-0000D8200000}"/>
    <cellStyle name="Normal 3 2 2 2 3 7" xfId="10258" xr:uid="{00000000-0005-0000-0000-0000D9200000}"/>
    <cellStyle name="Normal 3 2 2 2 3 8" xfId="10259" xr:uid="{00000000-0005-0000-0000-0000DA200000}"/>
    <cellStyle name="Normal 3 2 2 2 4" xfId="1224" xr:uid="{00000000-0005-0000-0000-0000DB200000}"/>
    <cellStyle name="Normal 3 2 2 2 4 2" xfId="1225" xr:uid="{00000000-0005-0000-0000-0000DC200000}"/>
    <cellStyle name="Normal 3 2 2 2 4 2 2" xfId="1226" xr:uid="{00000000-0005-0000-0000-0000DD200000}"/>
    <cellStyle name="Normal 3 2 2 2 4 3" xfId="1227" xr:uid="{00000000-0005-0000-0000-0000DE200000}"/>
    <cellStyle name="Normal 3 2 2 2 4 4" xfId="10260" xr:uid="{00000000-0005-0000-0000-0000DF200000}"/>
    <cellStyle name="Normal 3 2 2 2 5" xfId="1228" xr:uid="{00000000-0005-0000-0000-0000E0200000}"/>
    <cellStyle name="Normal 3 2 2 2 5 2" xfId="1229" xr:uid="{00000000-0005-0000-0000-0000E1200000}"/>
    <cellStyle name="Normal 3 2 2 2 6" xfId="1230" xr:uid="{00000000-0005-0000-0000-0000E2200000}"/>
    <cellStyle name="Normal 3 2 2 2 6 2" xfId="10261" xr:uid="{00000000-0005-0000-0000-0000E3200000}"/>
    <cellStyle name="Normal 3 2 2 2 7" xfId="10262" xr:uid="{00000000-0005-0000-0000-0000E4200000}"/>
    <cellStyle name="Normal 3 2 2 2 7 2" xfId="10263" xr:uid="{00000000-0005-0000-0000-0000E5200000}"/>
    <cellStyle name="Normal 3 2 2 2 8" xfId="10264" xr:uid="{00000000-0005-0000-0000-0000E6200000}"/>
    <cellStyle name="Normal 3 2 2 2 9" xfId="10265" xr:uid="{00000000-0005-0000-0000-0000E7200000}"/>
    <cellStyle name="Normal 3 2 2 3" xfId="1231" xr:uid="{00000000-0005-0000-0000-0000E8200000}"/>
    <cellStyle name="Normal 3 2 2 3 10" xfId="10266" xr:uid="{00000000-0005-0000-0000-0000E9200000}"/>
    <cellStyle name="Normal 3 2 2 3 11" xfId="10267" xr:uid="{00000000-0005-0000-0000-0000EA200000}"/>
    <cellStyle name="Normal 3 2 2 3 12" xfId="10268" xr:uid="{00000000-0005-0000-0000-0000EB200000}"/>
    <cellStyle name="Normal 3 2 2 3 2" xfId="1232" xr:uid="{00000000-0005-0000-0000-0000EC200000}"/>
    <cellStyle name="Normal 3 2 2 3 2 2" xfId="1233" xr:uid="{00000000-0005-0000-0000-0000ED200000}"/>
    <cellStyle name="Normal 3 2 2 3 2 2 2" xfId="1234" xr:uid="{00000000-0005-0000-0000-0000EE200000}"/>
    <cellStyle name="Normal 3 2 2 3 2 2 2 2" xfId="1235" xr:uid="{00000000-0005-0000-0000-0000EF200000}"/>
    <cellStyle name="Normal 3 2 2 3 2 2 3" xfId="1236" xr:uid="{00000000-0005-0000-0000-0000F0200000}"/>
    <cellStyle name="Normal 3 2 2 3 2 3" xfId="1237" xr:uid="{00000000-0005-0000-0000-0000F1200000}"/>
    <cellStyle name="Normal 3 2 2 3 2 3 2" xfId="1238" xr:uid="{00000000-0005-0000-0000-0000F2200000}"/>
    <cellStyle name="Normal 3 2 2 3 2 4" xfId="1239" xr:uid="{00000000-0005-0000-0000-0000F3200000}"/>
    <cellStyle name="Normal 3 2 2 3 2 5" xfId="10269" xr:uid="{00000000-0005-0000-0000-0000F4200000}"/>
    <cellStyle name="Normal 3 2 2 3 2 6" xfId="10270" xr:uid="{00000000-0005-0000-0000-0000F5200000}"/>
    <cellStyle name="Normal 3 2 2 3 2 7" xfId="10271" xr:uid="{00000000-0005-0000-0000-0000F6200000}"/>
    <cellStyle name="Normal 3 2 2 3 2 8" xfId="10272" xr:uid="{00000000-0005-0000-0000-0000F7200000}"/>
    <cellStyle name="Normal 3 2 2 3 3" xfId="1240" xr:uid="{00000000-0005-0000-0000-0000F8200000}"/>
    <cellStyle name="Normal 3 2 2 3 3 2" xfId="1241" xr:uid="{00000000-0005-0000-0000-0000F9200000}"/>
    <cellStyle name="Normal 3 2 2 3 3 2 2" xfId="1242" xr:uid="{00000000-0005-0000-0000-0000FA200000}"/>
    <cellStyle name="Normal 3 2 2 3 3 3" xfId="1243" xr:uid="{00000000-0005-0000-0000-0000FB200000}"/>
    <cellStyle name="Normal 3 2 2 3 3 4" xfId="10273" xr:uid="{00000000-0005-0000-0000-0000FC200000}"/>
    <cellStyle name="Normal 3 2 2 3 4" xfId="1244" xr:uid="{00000000-0005-0000-0000-0000FD200000}"/>
    <cellStyle name="Normal 3 2 2 3 4 2" xfId="1245" xr:uid="{00000000-0005-0000-0000-0000FE200000}"/>
    <cellStyle name="Normal 3 2 2 3 5" xfId="1246" xr:uid="{00000000-0005-0000-0000-0000FF200000}"/>
    <cellStyle name="Normal 3 2 2 3 5 2" xfId="10274" xr:uid="{00000000-0005-0000-0000-000000210000}"/>
    <cellStyle name="Normal 3 2 2 3 6" xfId="10275" xr:uid="{00000000-0005-0000-0000-000001210000}"/>
    <cellStyle name="Normal 3 2 2 3 6 2" xfId="10276" xr:uid="{00000000-0005-0000-0000-000002210000}"/>
    <cellStyle name="Normal 3 2 2 3 7" xfId="10277" xr:uid="{00000000-0005-0000-0000-000003210000}"/>
    <cellStyle name="Normal 3 2 2 3 8" xfId="10278" xr:uid="{00000000-0005-0000-0000-000004210000}"/>
    <cellStyle name="Normal 3 2 2 3 9" xfId="10279" xr:uid="{00000000-0005-0000-0000-000005210000}"/>
    <cellStyle name="Normal 3 2 2 4" xfId="1247" xr:uid="{00000000-0005-0000-0000-000006210000}"/>
    <cellStyle name="Normal 3 2 2 4 2" xfId="1248" xr:uid="{00000000-0005-0000-0000-000007210000}"/>
    <cellStyle name="Normal 3 2 2 4 2 2" xfId="1249" xr:uid="{00000000-0005-0000-0000-000008210000}"/>
    <cellStyle name="Normal 3 2 2 4 2 2 2" xfId="1250" xr:uid="{00000000-0005-0000-0000-000009210000}"/>
    <cellStyle name="Normal 3 2 2 4 2 3" xfId="1251" xr:uid="{00000000-0005-0000-0000-00000A210000}"/>
    <cellStyle name="Normal 3 2 2 4 3" xfId="1252" xr:uid="{00000000-0005-0000-0000-00000B210000}"/>
    <cellStyle name="Normal 3 2 2 4 3 2" xfId="1253" xr:uid="{00000000-0005-0000-0000-00000C210000}"/>
    <cellStyle name="Normal 3 2 2 4 4" xfId="1254" xr:uid="{00000000-0005-0000-0000-00000D210000}"/>
    <cellStyle name="Normal 3 2 2 4 5" xfId="10280" xr:uid="{00000000-0005-0000-0000-00000E210000}"/>
    <cellStyle name="Normal 3 2 2 4 6" xfId="10281" xr:uid="{00000000-0005-0000-0000-00000F210000}"/>
    <cellStyle name="Normal 3 2 2 4 7" xfId="10282" xr:uid="{00000000-0005-0000-0000-000010210000}"/>
    <cellStyle name="Normal 3 2 2 4 8" xfId="10283" xr:uid="{00000000-0005-0000-0000-000011210000}"/>
    <cellStyle name="Normal 3 2 2 5" xfId="1255" xr:uid="{00000000-0005-0000-0000-000012210000}"/>
    <cellStyle name="Normal 3 2 2 5 2" xfId="1256" xr:uid="{00000000-0005-0000-0000-000013210000}"/>
    <cellStyle name="Normal 3 2 2 5 2 2" xfId="1257" xr:uid="{00000000-0005-0000-0000-000014210000}"/>
    <cellStyle name="Normal 3 2 2 5 3" xfId="1258" xr:uid="{00000000-0005-0000-0000-000015210000}"/>
    <cellStyle name="Normal 3 2 2 5 4" xfId="10284" xr:uid="{00000000-0005-0000-0000-000016210000}"/>
    <cellStyle name="Normal 3 2 2 6" xfId="1259" xr:uid="{00000000-0005-0000-0000-000017210000}"/>
    <cellStyle name="Normal 3 2 2 6 2" xfId="1260" xr:uid="{00000000-0005-0000-0000-000018210000}"/>
    <cellStyle name="Normal 3 2 2 7" xfId="1261" xr:uid="{00000000-0005-0000-0000-000019210000}"/>
    <cellStyle name="Normal 3 2 2 7 2" xfId="10285" xr:uid="{00000000-0005-0000-0000-00001A210000}"/>
    <cellStyle name="Normal 3 2 2 8" xfId="10286" xr:uid="{00000000-0005-0000-0000-00001B210000}"/>
    <cellStyle name="Normal 3 2 2 8 2" xfId="10287" xr:uid="{00000000-0005-0000-0000-00001C210000}"/>
    <cellStyle name="Normal 3 2 2 9" xfId="10288" xr:uid="{00000000-0005-0000-0000-00001D210000}"/>
    <cellStyle name="Normal 3 2 3" xfId="1262" xr:uid="{00000000-0005-0000-0000-00001E210000}"/>
    <cellStyle name="Normal 3 2 3 10" xfId="10289" xr:uid="{00000000-0005-0000-0000-00001F210000}"/>
    <cellStyle name="Normal 3 2 3 11" xfId="10290" xr:uid="{00000000-0005-0000-0000-000020210000}"/>
    <cellStyle name="Normal 3 2 3 12" xfId="10291" xr:uid="{00000000-0005-0000-0000-000021210000}"/>
    <cellStyle name="Normal 3 2 3 13" xfId="10292" xr:uid="{00000000-0005-0000-0000-000022210000}"/>
    <cellStyle name="Normal 3 2 3 2" xfId="1263" xr:uid="{00000000-0005-0000-0000-000023210000}"/>
    <cellStyle name="Normal 3 2 3 2 10" xfId="10293" xr:uid="{00000000-0005-0000-0000-000024210000}"/>
    <cellStyle name="Normal 3 2 3 2 11" xfId="10294" xr:uid="{00000000-0005-0000-0000-000025210000}"/>
    <cellStyle name="Normal 3 2 3 2 12" xfId="10295" xr:uid="{00000000-0005-0000-0000-000026210000}"/>
    <cellStyle name="Normal 3 2 3 2 2" xfId="1264" xr:uid="{00000000-0005-0000-0000-000027210000}"/>
    <cellStyle name="Normal 3 2 3 2 2 2" xfId="1265" xr:uid="{00000000-0005-0000-0000-000028210000}"/>
    <cellStyle name="Normal 3 2 3 2 2 2 2" xfId="1266" xr:uid="{00000000-0005-0000-0000-000029210000}"/>
    <cellStyle name="Normal 3 2 3 2 2 2 2 2" xfId="1267" xr:uid="{00000000-0005-0000-0000-00002A210000}"/>
    <cellStyle name="Normal 3 2 3 2 2 2 3" xfId="1268" xr:uid="{00000000-0005-0000-0000-00002B210000}"/>
    <cellStyle name="Normal 3 2 3 2 2 2 4" xfId="10296" xr:uid="{00000000-0005-0000-0000-00002C210000}"/>
    <cellStyle name="Normal 3 2 3 2 2 3" xfId="1269" xr:uid="{00000000-0005-0000-0000-00002D210000}"/>
    <cellStyle name="Normal 3 2 3 2 2 3 2" xfId="1270" xr:uid="{00000000-0005-0000-0000-00002E210000}"/>
    <cellStyle name="Normal 3 2 3 2 2 4" xfId="1271" xr:uid="{00000000-0005-0000-0000-00002F210000}"/>
    <cellStyle name="Normal 3 2 3 2 2 5" xfId="10297" xr:uid="{00000000-0005-0000-0000-000030210000}"/>
    <cellStyle name="Normal 3 2 3 2 2 6" xfId="10298" xr:uid="{00000000-0005-0000-0000-000031210000}"/>
    <cellStyle name="Normal 3 2 3 2 2 7" xfId="10299" xr:uid="{00000000-0005-0000-0000-000032210000}"/>
    <cellStyle name="Normal 3 2 3 2 2 8" xfId="10300" xr:uid="{00000000-0005-0000-0000-000033210000}"/>
    <cellStyle name="Normal 3 2 3 2 2 9" xfId="10301" xr:uid="{00000000-0005-0000-0000-000034210000}"/>
    <cellStyle name="Normal 3 2 3 2 3" xfId="1272" xr:uid="{00000000-0005-0000-0000-000035210000}"/>
    <cellStyle name="Normal 3 2 3 2 3 2" xfId="1273" xr:uid="{00000000-0005-0000-0000-000036210000}"/>
    <cellStyle name="Normal 3 2 3 2 3 2 2" xfId="1274" xr:uid="{00000000-0005-0000-0000-000037210000}"/>
    <cellStyle name="Normal 3 2 3 2 3 3" xfId="1275" xr:uid="{00000000-0005-0000-0000-000038210000}"/>
    <cellStyle name="Normal 3 2 3 2 3 4" xfId="10302" xr:uid="{00000000-0005-0000-0000-000039210000}"/>
    <cellStyle name="Normal 3 2 3 2 3 5" xfId="10303" xr:uid="{00000000-0005-0000-0000-00003A210000}"/>
    <cellStyle name="Normal 3 2 3 2 4" xfId="1276" xr:uid="{00000000-0005-0000-0000-00003B210000}"/>
    <cellStyle name="Normal 3 2 3 2 4 2" xfId="1277" xr:uid="{00000000-0005-0000-0000-00003C210000}"/>
    <cellStyle name="Normal 3 2 3 2 5" xfId="1278" xr:uid="{00000000-0005-0000-0000-00003D210000}"/>
    <cellStyle name="Normal 3 2 3 2 5 2" xfId="10304" xr:uid="{00000000-0005-0000-0000-00003E210000}"/>
    <cellStyle name="Normal 3 2 3 2 6" xfId="10305" xr:uid="{00000000-0005-0000-0000-00003F210000}"/>
    <cellStyle name="Normal 3 2 3 2 6 2" xfId="10306" xr:uid="{00000000-0005-0000-0000-000040210000}"/>
    <cellStyle name="Normal 3 2 3 2 7" xfId="10307" xr:uid="{00000000-0005-0000-0000-000041210000}"/>
    <cellStyle name="Normal 3 2 3 2 8" xfId="10308" xr:uid="{00000000-0005-0000-0000-000042210000}"/>
    <cellStyle name="Normal 3 2 3 2 9" xfId="10309" xr:uid="{00000000-0005-0000-0000-000043210000}"/>
    <cellStyle name="Normal 3 2 3 3" xfId="1279" xr:uid="{00000000-0005-0000-0000-000044210000}"/>
    <cellStyle name="Normal 3 2 3 3 2" xfId="1280" xr:uid="{00000000-0005-0000-0000-000045210000}"/>
    <cellStyle name="Normal 3 2 3 3 2 2" xfId="1281" xr:uid="{00000000-0005-0000-0000-000046210000}"/>
    <cellStyle name="Normal 3 2 3 3 2 2 2" xfId="1282" xr:uid="{00000000-0005-0000-0000-000047210000}"/>
    <cellStyle name="Normal 3 2 3 3 2 3" xfId="1283" xr:uid="{00000000-0005-0000-0000-000048210000}"/>
    <cellStyle name="Normal 3 2 3 3 2 4" xfId="10310" xr:uid="{00000000-0005-0000-0000-000049210000}"/>
    <cellStyle name="Normal 3 2 3 3 3" xfId="1284" xr:uid="{00000000-0005-0000-0000-00004A210000}"/>
    <cellStyle name="Normal 3 2 3 3 3 2" xfId="1285" xr:uid="{00000000-0005-0000-0000-00004B210000}"/>
    <cellStyle name="Normal 3 2 3 3 4" xfId="1286" xr:uid="{00000000-0005-0000-0000-00004C210000}"/>
    <cellStyle name="Normal 3 2 3 3 5" xfId="10311" xr:uid="{00000000-0005-0000-0000-00004D210000}"/>
    <cellStyle name="Normal 3 2 3 3 6" xfId="10312" xr:uid="{00000000-0005-0000-0000-00004E210000}"/>
    <cellStyle name="Normal 3 2 3 3 7" xfId="10313" xr:uid="{00000000-0005-0000-0000-00004F210000}"/>
    <cellStyle name="Normal 3 2 3 3 8" xfId="10314" xr:uid="{00000000-0005-0000-0000-000050210000}"/>
    <cellStyle name="Normal 3 2 3 3 9" xfId="10315" xr:uid="{00000000-0005-0000-0000-000051210000}"/>
    <cellStyle name="Normal 3 2 3 4" xfId="1287" xr:uid="{00000000-0005-0000-0000-000052210000}"/>
    <cellStyle name="Normal 3 2 3 4 2" xfId="1288" xr:uid="{00000000-0005-0000-0000-000053210000}"/>
    <cellStyle name="Normal 3 2 3 4 2 2" xfId="1289" xr:uid="{00000000-0005-0000-0000-000054210000}"/>
    <cellStyle name="Normal 3 2 3 4 3" xfId="1290" xr:uid="{00000000-0005-0000-0000-000055210000}"/>
    <cellStyle name="Normal 3 2 3 4 4" xfId="10316" xr:uid="{00000000-0005-0000-0000-000056210000}"/>
    <cellStyle name="Normal 3 2 3 4 5" xfId="10317" xr:uid="{00000000-0005-0000-0000-000057210000}"/>
    <cellStyle name="Normal 3 2 3 5" xfId="1291" xr:uid="{00000000-0005-0000-0000-000058210000}"/>
    <cellStyle name="Normal 3 2 3 5 2" xfId="1292" xr:uid="{00000000-0005-0000-0000-000059210000}"/>
    <cellStyle name="Normal 3 2 3 6" xfId="1293" xr:uid="{00000000-0005-0000-0000-00005A210000}"/>
    <cellStyle name="Normal 3 2 3 6 2" xfId="10318" xr:uid="{00000000-0005-0000-0000-00005B210000}"/>
    <cellStyle name="Normal 3 2 3 7" xfId="10319" xr:uid="{00000000-0005-0000-0000-00005C210000}"/>
    <cellStyle name="Normal 3 2 3 7 2" xfId="10320" xr:uid="{00000000-0005-0000-0000-00005D210000}"/>
    <cellStyle name="Normal 3 2 3 8" xfId="10321" xr:uid="{00000000-0005-0000-0000-00005E210000}"/>
    <cellStyle name="Normal 3 2 3 9" xfId="10322" xr:uid="{00000000-0005-0000-0000-00005F210000}"/>
    <cellStyle name="Normal 3 2 4" xfId="1294" xr:uid="{00000000-0005-0000-0000-000060210000}"/>
    <cellStyle name="Normal 3 2 4 10" xfId="10323" xr:uid="{00000000-0005-0000-0000-000061210000}"/>
    <cellStyle name="Normal 3 2 4 11" xfId="10324" xr:uid="{00000000-0005-0000-0000-000062210000}"/>
    <cellStyle name="Normal 3 2 4 12" xfId="10325" xr:uid="{00000000-0005-0000-0000-000063210000}"/>
    <cellStyle name="Normal 3 2 4 2" xfId="1295" xr:uid="{00000000-0005-0000-0000-000064210000}"/>
    <cellStyle name="Normal 3 2 4 2 2" xfId="1296" xr:uid="{00000000-0005-0000-0000-000065210000}"/>
    <cellStyle name="Normal 3 2 4 2 2 2" xfId="1297" xr:uid="{00000000-0005-0000-0000-000066210000}"/>
    <cellStyle name="Normal 3 2 4 2 2 2 2" xfId="1298" xr:uid="{00000000-0005-0000-0000-000067210000}"/>
    <cellStyle name="Normal 3 2 4 2 2 3" xfId="1299" xr:uid="{00000000-0005-0000-0000-000068210000}"/>
    <cellStyle name="Normal 3 2 4 2 2 4" xfId="10326" xr:uid="{00000000-0005-0000-0000-000069210000}"/>
    <cellStyle name="Normal 3 2 4 2 3" xfId="1300" xr:uid="{00000000-0005-0000-0000-00006A210000}"/>
    <cellStyle name="Normal 3 2 4 2 3 2" xfId="1301" xr:uid="{00000000-0005-0000-0000-00006B210000}"/>
    <cellStyle name="Normal 3 2 4 2 4" xfId="1302" xr:uid="{00000000-0005-0000-0000-00006C210000}"/>
    <cellStyle name="Normal 3 2 4 2 5" xfId="10327" xr:uid="{00000000-0005-0000-0000-00006D210000}"/>
    <cellStyle name="Normal 3 2 4 2 6" xfId="10328" xr:uid="{00000000-0005-0000-0000-00006E210000}"/>
    <cellStyle name="Normal 3 2 4 2 7" xfId="10329" xr:uid="{00000000-0005-0000-0000-00006F210000}"/>
    <cellStyle name="Normal 3 2 4 2 8" xfId="10330" xr:uid="{00000000-0005-0000-0000-000070210000}"/>
    <cellStyle name="Normal 3 2 4 2 9" xfId="10331" xr:uid="{00000000-0005-0000-0000-000071210000}"/>
    <cellStyle name="Normal 3 2 4 3" xfId="1303" xr:uid="{00000000-0005-0000-0000-000072210000}"/>
    <cellStyle name="Normal 3 2 4 3 2" xfId="1304" xr:uid="{00000000-0005-0000-0000-000073210000}"/>
    <cellStyle name="Normal 3 2 4 3 2 2" xfId="1305" xr:uid="{00000000-0005-0000-0000-000074210000}"/>
    <cellStyle name="Normal 3 2 4 3 3" xfId="1306" xr:uid="{00000000-0005-0000-0000-000075210000}"/>
    <cellStyle name="Normal 3 2 4 3 4" xfId="10332" xr:uid="{00000000-0005-0000-0000-000076210000}"/>
    <cellStyle name="Normal 3 2 4 3 5" xfId="10333" xr:uid="{00000000-0005-0000-0000-000077210000}"/>
    <cellStyle name="Normal 3 2 4 4" xfId="1307" xr:uid="{00000000-0005-0000-0000-000078210000}"/>
    <cellStyle name="Normal 3 2 4 4 2" xfId="1308" xr:uid="{00000000-0005-0000-0000-000079210000}"/>
    <cellStyle name="Normal 3 2 4 5" xfId="1309" xr:uid="{00000000-0005-0000-0000-00007A210000}"/>
    <cellStyle name="Normal 3 2 4 5 2" xfId="10334" xr:uid="{00000000-0005-0000-0000-00007B210000}"/>
    <cellStyle name="Normal 3 2 4 6" xfId="10335" xr:uid="{00000000-0005-0000-0000-00007C210000}"/>
    <cellStyle name="Normal 3 2 4 6 2" xfId="10336" xr:uid="{00000000-0005-0000-0000-00007D210000}"/>
    <cellStyle name="Normal 3 2 4 7" xfId="10337" xr:uid="{00000000-0005-0000-0000-00007E210000}"/>
    <cellStyle name="Normal 3 2 4 8" xfId="10338" xr:uid="{00000000-0005-0000-0000-00007F210000}"/>
    <cellStyle name="Normal 3 2 4 9" xfId="10339" xr:uid="{00000000-0005-0000-0000-000080210000}"/>
    <cellStyle name="Normal 3 2 5" xfId="1310" xr:uid="{00000000-0005-0000-0000-000081210000}"/>
    <cellStyle name="Normal 3 2 5 2" xfId="1311" xr:uid="{00000000-0005-0000-0000-000082210000}"/>
    <cellStyle name="Normal 3 2 5 2 2" xfId="1312" xr:uid="{00000000-0005-0000-0000-000083210000}"/>
    <cellStyle name="Normal 3 2 5 2 2 2" xfId="1313" xr:uid="{00000000-0005-0000-0000-000084210000}"/>
    <cellStyle name="Normal 3 2 5 2 3" xfId="1314" xr:uid="{00000000-0005-0000-0000-000085210000}"/>
    <cellStyle name="Normal 3 2 5 3" xfId="1315" xr:uid="{00000000-0005-0000-0000-000086210000}"/>
    <cellStyle name="Normal 3 2 5 3 2" xfId="1316" xr:uid="{00000000-0005-0000-0000-000087210000}"/>
    <cellStyle name="Normal 3 2 5 4" xfId="1317" xr:uid="{00000000-0005-0000-0000-000088210000}"/>
    <cellStyle name="Normal 3 2 5 5" xfId="10340" xr:uid="{00000000-0005-0000-0000-000089210000}"/>
    <cellStyle name="Normal 3 2 5 6" xfId="10341" xr:uid="{00000000-0005-0000-0000-00008A210000}"/>
    <cellStyle name="Normal 3 2 6" xfId="1318" xr:uid="{00000000-0005-0000-0000-00008B210000}"/>
    <cellStyle name="Normal 3 2 6 2" xfId="1319" xr:uid="{00000000-0005-0000-0000-00008C210000}"/>
    <cellStyle name="Normal 3 2 6 2 2" xfId="1320" xr:uid="{00000000-0005-0000-0000-00008D210000}"/>
    <cellStyle name="Normal 3 2 6 2 3" xfId="10342" xr:uid="{00000000-0005-0000-0000-00008E210000}"/>
    <cellStyle name="Normal 3 2 6 3" xfId="1321" xr:uid="{00000000-0005-0000-0000-00008F210000}"/>
    <cellStyle name="Normal 3 2 6 3 2" xfId="10343" xr:uid="{00000000-0005-0000-0000-000090210000}"/>
    <cellStyle name="Normal 3 2 6 4" xfId="10344" xr:uid="{00000000-0005-0000-0000-000091210000}"/>
    <cellStyle name="Normal 3 2 6 5" xfId="10345" xr:uid="{00000000-0005-0000-0000-000092210000}"/>
    <cellStyle name="Normal 3 2 6 6" xfId="10346" xr:uid="{00000000-0005-0000-0000-000093210000}"/>
    <cellStyle name="Normal 3 2 6 7" xfId="10347" xr:uid="{00000000-0005-0000-0000-000094210000}"/>
    <cellStyle name="Normal 3 2 6 8" xfId="10348" xr:uid="{00000000-0005-0000-0000-000095210000}"/>
    <cellStyle name="Normal 3 2 6 9" xfId="10349" xr:uid="{00000000-0005-0000-0000-000096210000}"/>
    <cellStyle name="Normal 3 2 7" xfId="1322" xr:uid="{00000000-0005-0000-0000-000097210000}"/>
    <cellStyle name="Normal 3 2 7 2" xfId="1323" xr:uid="{00000000-0005-0000-0000-000098210000}"/>
    <cellStyle name="Normal 3 2 7 3" xfId="10350" xr:uid="{00000000-0005-0000-0000-000099210000}"/>
    <cellStyle name="Normal 3 2 7 4" xfId="10351" xr:uid="{00000000-0005-0000-0000-00009A210000}"/>
    <cellStyle name="Normal 3 2 8" xfId="1324" xr:uid="{00000000-0005-0000-0000-00009B210000}"/>
    <cellStyle name="Normal 3 2 8 2" xfId="10352" xr:uid="{00000000-0005-0000-0000-00009C210000}"/>
    <cellStyle name="Normal 3 2 8 3" xfId="10353" xr:uid="{00000000-0005-0000-0000-00009D210000}"/>
    <cellStyle name="Normal 3 2 9" xfId="10354" xr:uid="{00000000-0005-0000-0000-00009E210000}"/>
    <cellStyle name="Normal 3 2 9 2" xfId="10355" xr:uid="{00000000-0005-0000-0000-00009F210000}"/>
    <cellStyle name="Normal 3 3" xfId="32" xr:uid="{00000000-0005-0000-0000-0000A0210000}"/>
    <cellStyle name="Normal 3 3 10" xfId="10356" xr:uid="{00000000-0005-0000-0000-0000A1210000}"/>
    <cellStyle name="Normal 3 3 11" xfId="10357" xr:uid="{00000000-0005-0000-0000-0000A2210000}"/>
    <cellStyle name="Normal 3 3 12" xfId="10358" xr:uid="{00000000-0005-0000-0000-0000A3210000}"/>
    <cellStyle name="Normal 3 3 13" xfId="10359" xr:uid="{00000000-0005-0000-0000-0000A4210000}"/>
    <cellStyle name="Normal 3 3 14" xfId="10360" xr:uid="{00000000-0005-0000-0000-0000A5210000}"/>
    <cellStyle name="Normal 3 3 15" xfId="10361" xr:uid="{00000000-0005-0000-0000-0000A6210000}"/>
    <cellStyle name="Normal 3 3 16" xfId="1325" xr:uid="{00000000-0005-0000-0000-0000A7210000}"/>
    <cellStyle name="Normal 3 3 2" xfId="1326" xr:uid="{00000000-0005-0000-0000-0000A8210000}"/>
    <cellStyle name="Normal 3 3 2 10" xfId="10362" xr:uid="{00000000-0005-0000-0000-0000A9210000}"/>
    <cellStyle name="Normal 3 3 2 11" xfId="10363" xr:uid="{00000000-0005-0000-0000-0000AA210000}"/>
    <cellStyle name="Normal 3 3 2 2" xfId="1327" xr:uid="{00000000-0005-0000-0000-0000AB210000}"/>
    <cellStyle name="Normal 3 3 2 2 2" xfId="1328" xr:uid="{00000000-0005-0000-0000-0000AC210000}"/>
    <cellStyle name="Normal 3 3 2 2 2 2" xfId="1329" xr:uid="{00000000-0005-0000-0000-0000AD210000}"/>
    <cellStyle name="Normal 3 3 2 2 2 2 2" xfId="1330" xr:uid="{00000000-0005-0000-0000-0000AE210000}"/>
    <cellStyle name="Normal 3 3 2 2 2 2 2 2" xfId="1331" xr:uid="{00000000-0005-0000-0000-0000AF210000}"/>
    <cellStyle name="Normal 3 3 2 2 2 2 3" xfId="1332" xr:uid="{00000000-0005-0000-0000-0000B0210000}"/>
    <cellStyle name="Normal 3 3 2 2 2 3" xfId="1333" xr:uid="{00000000-0005-0000-0000-0000B1210000}"/>
    <cellStyle name="Normal 3 3 2 2 2 3 2" xfId="1334" xr:uid="{00000000-0005-0000-0000-0000B2210000}"/>
    <cellStyle name="Normal 3 3 2 2 2 4" xfId="1335" xr:uid="{00000000-0005-0000-0000-0000B3210000}"/>
    <cellStyle name="Normal 3 3 2 2 3" xfId="1336" xr:uid="{00000000-0005-0000-0000-0000B4210000}"/>
    <cellStyle name="Normal 3 3 2 2 3 2" xfId="1337" xr:uid="{00000000-0005-0000-0000-0000B5210000}"/>
    <cellStyle name="Normal 3 3 2 2 3 2 2" xfId="1338" xr:uid="{00000000-0005-0000-0000-0000B6210000}"/>
    <cellStyle name="Normal 3 3 2 2 3 3" xfId="1339" xr:uid="{00000000-0005-0000-0000-0000B7210000}"/>
    <cellStyle name="Normal 3 3 2 2 4" xfId="1340" xr:uid="{00000000-0005-0000-0000-0000B8210000}"/>
    <cellStyle name="Normal 3 3 2 2 4 2" xfId="1341" xr:uid="{00000000-0005-0000-0000-0000B9210000}"/>
    <cellStyle name="Normal 3 3 2 2 5" xfId="1342" xr:uid="{00000000-0005-0000-0000-0000BA210000}"/>
    <cellStyle name="Normal 3 3 2 3" xfId="1343" xr:uid="{00000000-0005-0000-0000-0000BB210000}"/>
    <cellStyle name="Normal 3 3 2 3 2" xfId="1344" xr:uid="{00000000-0005-0000-0000-0000BC210000}"/>
    <cellStyle name="Normal 3 3 2 3 2 2" xfId="1345" xr:uid="{00000000-0005-0000-0000-0000BD210000}"/>
    <cellStyle name="Normal 3 3 2 3 2 2 2" xfId="1346" xr:uid="{00000000-0005-0000-0000-0000BE210000}"/>
    <cellStyle name="Normal 3 3 2 3 2 3" xfId="1347" xr:uid="{00000000-0005-0000-0000-0000BF210000}"/>
    <cellStyle name="Normal 3 3 2 3 3" xfId="1348" xr:uid="{00000000-0005-0000-0000-0000C0210000}"/>
    <cellStyle name="Normal 3 3 2 3 3 2" xfId="1349" xr:uid="{00000000-0005-0000-0000-0000C1210000}"/>
    <cellStyle name="Normal 3 3 2 3 4" xfId="1350" xr:uid="{00000000-0005-0000-0000-0000C2210000}"/>
    <cellStyle name="Normal 3 3 2 4" xfId="1351" xr:uid="{00000000-0005-0000-0000-0000C3210000}"/>
    <cellStyle name="Normal 3 3 2 4 2" xfId="1352" xr:uid="{00000000-0005-0000-0000-0000C4210000}"/>
    <cellStyle name="Normal 3 3 2 4 2 2" xfId="1353" xr:uid="{00000000-0005-0000-0000-0000C5210000}"/>
    <cellStyle name="Normal 3 3 2 4 3" xfId="1354" xr:uid="{00000000-0005-0000-0000-0000C6210000}"/>
    <cellStyle name="Normal 3 3 2 4 4" xfId="10364" xr:uid="{00000000-0005-0000-0000-0000C7210000}"/>
    <cellStyle name="Normal 3 3 2 5" xfId="1355" xr:uid="{00000000-0005-0000-0000-0000C8210000}"/>
    <cellStyle name="Normal 3 3 2 5 2" xfId="1356" xr:uid="{00000000-0005-0000-0000-0000C9210000}"/>
    <cellStyle name="Normal 3 3 2 5 3" xfId="10365" xr:uid="{00000000-0005-0000-0000-0000CA210000}"/>
    <cellStyle name="Normal 3 3 2 5 4" xfId="10366" xr:uid="{00000000-0005-0000-0000-0000CB210000}"/>
    <cellStyle name="Normal 3 3 2 6" xfId="1357" xr:uid="{00000000-0005-0000-0000-0000CC210000}"/>
    <cellStyle name="Normal 3 3 2 7" xfId="10367" xr:uid="{00000000-0005-0000-0000-0000CD210000}"/>
    <cellStyle name="Normal 3 3 2 8" xfId="10368" xr:uid="{00000000-0005-0000-0000-0000CE210000}"/>
    <cellStyle name="Normal 3 3 2 9" xfId="10369" xr:uid="{00000000-0005-0000-0000-0000CF210000}"/>
    <cellStyle name="Normal 3 3 2_Actual" xfId="10370" xr:uid="{00000000-0005-0000-0000-0000D0210000}"/>
    <cellStyle name="Normal 3 3 3" xfId="1358" xr:uid="{00000000-0005-0000-0000-0000D1210000}"/>
    <cellStyle name="Normal 3 3 3 2" xfId="1359" xr:uid="{00000000-0005-0000-0000-0000D2210000}"/>
    <cellStyle name="Normal 3 3 3 2 2" xfId="1360" xr:uid="{00000000-0005-0000-0000-0000D3210000}"/>
    <cellStyle name="Normal 3 3 3 2 2 2" xfId="1361" xr:uid="{00000000-0005-0000-0000-0000D4210000}"/>
    <cellStyle name="Normal 3 3 3 2 2 2 2" xfId="1362" xr:uid="{00000000-0005-0000-0000-0000D5210000}"/>
    <cellStyle name="Normal 3 3 3 2 2 3" xfId="1363" xr:uid="{00000000-0005-0000-0000-0000D6210000}"/>
    <cellStyle name="Normal 3 3 3 2 3" xfId="1364" xr:uid="{00000000-0005-0000-0000-0000D7210000}"/>
    <cellStyle name="Normal 3 3 3 2 3 2" xfId="1365" xr:uid="{00000000-0005-0000-0000-0000D8210000}"/>
    <cellStyle name="Normal 3 3 3 2 4" xfId="1366" xr:uid="{00000000-0005-0000-0000-0000D9210000}"/>
    <cellStyle name="Normal 3 3 3 3" xfId="1367" xr:uid="{00000000-0005-0000-0000-0000DA210000}"/>
    <cellStyle name="Normal 3 3 3 3 2" xfId="1368" xr:uid="{00000000-0005-0000-0000-0000DB210000}"/>
    <cellStyle name="Normal 3 3 3 3 2 2" xfId="1369" xr:uid="{00000000-0005-0000-0000-0000DC210000}"/>
    <cellStyle name="Normal 3 3 3 3 3" xfId="1370" xr:uid="{00000000-0005-0000-0000-0000DD210000}"/>
    <cellStyle name="Normal 3 3 3 3 3 2" xfId="10371" xr:uid="{00000000-0005-0000-0000-0000DE210000}"/>
    <cellStyle name="Normal 3 3 3 3 4" xfId="10372" xr:uid="{00000000-0005-0000-0000-0000DF210000}"/>
    <cellStyle name="Normal 3 3 3 4" xfId="1371" xr:uid="{00000000-0005-0000-0000-0000E0210000}"/>
    <cellStyle name="Normal 3 3 3 4 2" xfId="1372" xr:uid="{00000000-0005-0000-0000-0000E1210000}"/>
    <cellStyle name="Normal 3 3 3 4 3" xfId="10373" xr:uid="{00000000-0005-0000-0000-0000E2210000}"/>
    <cellStyle name="Normal 3 3 3 4 4" xfId="10374" xr:uid="{00000000-0005-0000-0000-0000E3210000}"/>
    <cellStyle name="Normal 3 3 3 5" xfId="1373" xr:uid="{00000000-0005-0000-0000-0000E4210000}"/>
    <cellStyle name="Normal 3 3 3 5 2" xfId="10375" xr:uid="{00000000-0005-0000-0000-0000E5210000}"/>
    <cellStyle name="Normal 3 3 3 5 3" xfId="10376" xr:uid="{00000000-0005-0000-0000-0000E6210000}"/>
    <cellStyle name="Normal 3 3 3 5 4" xfId="10377" xr:uid="{00000000-0005-0000-0000-0000E7210000}"/>
    <cellStyle name="Normal 3 3 3 6" xfId="10378" xr:uid="{00000000-0005-0000-0000-0000E8210000}"/>
    <cellStyle name="Normal 3 3 3 7" xfId="10379" xr:uid="{00000000-0005-0000-0000-0000E9210000}"/>
    <cellStyle name="Normal 3 3 3 8" xfId="10380" xr:uid="{00000000-0005-0000-0000-0000EA210000}"/>
    <cellStyle name="Normal 3 3 3 9" xfId="10381" xr:uid="{00000000-0005-0000-0000-0000EB210000}"/>
    <cellStyle name="Normal 3 3 3_Actual" xfId="10382" xr:uid="{00000000-0005-0000-0000-0000EC210000}"/>
    <cellStyle name="Normal 3 3 4" xfId="1374" xr:uid="{00000000-0005-0000-0000-0000ED210000}"/>
    <cellStyle name="Normal 3 3 4 2" xfId="1375" xr:uid="{00000000-0005-0000-0000-0000EE210000}"/>
    <cellStyle name="Normal 3 3 4 2 2" xfId="1376" xr:uid="{00000000-0005-0000-0000-0000EF210000}"/>
    <cellStyle name="Normal 3 3 4 2 2 2" xfId="1377" xr:uid="{00000000-0005-0000-0000-0000F0210000}"/>
    <cellStyle name="Normal 3 3 4 2 3" xfId="1378" xr:uid="{00000000-0005-0000-0000-0000F1210000}"/>
    <cellStyle name="Normal 3 3 4 2 3 2" xfId="10383" xr:uid="{00000000-0005-0000-0000-0000F2210000}"/>
    <cellStyle name="Normal 3 3 4 2 4" xfId="10384" xr:uid="{00000000-0005-0000-0000-0000F3210000}"/>
    <cellStyle name="Normal 3 3 4 3" xfId="1379" xr:uid="{00000000-0005-0000-0000-0000F4210000}"/>
    <cellStyle name="Normal 3 3 4 3 2" xfId="1380" xr:uid="{00000000-0005-0000-0000-0000F5210000}"/>
    <cellStyle name="Normal 3 3 4 3 2 2" xfId="10385" xr:uid="{00000000-0005-0000-0000-0000F6210000}"/>
    <cellStyle name="Normal 3 3 4 3 3" xfId="10386" xr:uid="{00000000-0005-0000-0000-0000F7210000}"/>
    <cellStyle name="Normal 3 3 4 3 3 2" xfId="10387" xr:uid="{00000000-0005-0000-0000-0000F8210000}"/>
    <cellStyle name="Normal 3 3 4 3 4" xfId="10388" xr:uid="{00000000-0005-0000-0000-0000F9210000}"/>
    <cellStyle name="Normal 3 3 4 4" xfId="1381" xr:uid="{00000000-0005-0000-0000-0000FA210000}"/>
    <cellStyle name="Normal 3 3 4 4 2" xfId="10389" xr:uid="{00000000-0005-0000-0000-0000FB210000}"/>
    <cellStyle name="Normal 3 3 4 4 3" xfId="10390" xr:uid="{00000000-0005-0000-0000-0000FC210000}"/>
    <cellStyle name="Normal 3 3 4 4 4" xfId="10391" xr:uid="{00000000-0005-0000-0000-0000FD210000}"/>
    <cellStyle name="Normal 3 3 4 5" xfId="10392" xr:uid="{00000000-0005-0000-0000-0000FE210000}"/>
    <cellStyle name="Normal 3 3 4 5 2" xfId="10393" xr:uid="{00000000-0005-0000-0000-0000FF210000}"/>
    <cellStyle name="Normal 3 3 4 5 3" xfId="10394" xr:uid="{00000000-0005-0000-0000-000000220000}"/>
    <cellStyle name="Normal 3 3 4 5 4" xfId="10395" xr:uid="{00000000-0005-0000-0000-000001220000}"/>
    <cellStyle name="Normal 3 3 4 6" xfId="10396" xr:uid="{00000000-0005-0000-0000-000002220000}"/>
    <cellStyle name="Normal 3 3 4 7" xfId="10397" xr:uid="{00000000-0005-0000-0000-000003220000}"/>
    <cellStyle name="Normal 3 3 4 8" xfId="10398" xr:uid="{00000000-0005-0000-0000-000004220000}"/>
    <cellStyle name="Normal 3 3 4 9" xfId="10399" xr:uid="{00000000-0005-0000-0000-000005220000}"/>
    <cellStyle name="Normal 3 3 4_Actual" xfId="10400" xr:uid="{00000000-0005-0000-0000-000006220000}"/>
    <cellStyle name="Normal 3 3 5" xfId="1382" xr:uid="{00000000-0005-0000-0000-000007220000}"/>
    <cellStyle name="Normal 3 3 5 2" xfId="1383" xr:uid="{00000000-0005-0000-0000-000008220000}"/>
    <cellStyle name="Normal 3 3 5 2 2" xfId="1384" xr:uid="{00000000-0005-0000-0000-000009220000}"/>
    <cellStyle name="Normal 3 3 5 3" xfId="1385" xr:uid="{00000000-0005-0000-0000-00000A220000}"/>
    <cellStyle name="Normal 3 3 5 3 2" xfId="10401" xr:uid="{00000000-0005-0000-0000-00000B220000}"/>
    <cellStyle name="Normal 3 3 5 4" xfId="10402" xr:uid="{00000000-0005-0000-0000-00000C220000}"/>
    <cellStyle name="Normal 3 3 6" xfId="1386" xr:uid="{00000000-0005-0000-0000-00000D220000}"/>
    <cellStyle name="Normal 3 3 6 2" xfId="1387" xr:uid="{00000000-0005-0000-0000-00000E220000}"/>
    <cellStyle name="Normal 3 3 6 2 2" xfId="10403" xr:uid="{00000000-0005-0000-0000-00000F220000}"/>
    <cellStyle name="Normal 3 3 6 3" xfId="10404" xr:uid="{00000000-0005-0000-0000-000010220000}"/>
    <cellStyle name="Normal 3 3 6 3 2" xfId="10405" xr:uid="{00000000-0005-0000-0000-000011220000}"/>
    <cellStyle name="Normal 3 3 6 4" xfId="10406" xr:uid="{00000000-0005-0000-0000-000012220000}"/>
    <cellStyle name="Normal 3 3 7" xfId="1388" xr:uid="{00000000-0005-0000-0000-000013220000}"/>
    <cellStyle name="Normal 3 3 7 2" xfId="10407" xr:uid="{00000000-0005-0000-0000-000014220000}"/>
    <cellStyle name="Normal 3 3 7 2 2" xfId="10408" xr:uid="{00000000-0005-0000-0000-000015220000}"/>
    <cellStyle name="Normal 3 3 7 3" xfId="10409" xr:uid="{00000000-0005-0000-0000-000016220000}"/>
    <cellStyle name="Normal 3 3 7 4" xfId="10410" xr:uid="{00000000-0005-0000-0000-000017220000}"/>
    <cellStyle name="Normal 3 3 8" xfId="10411" xr:uid="{00000000-0005-0000-0000-000018220000}"/>
    <cellStyle name="Normal 3 3 8 2" xfId="10412" xr:uid="{00000000-0005-0000-0000-000019220000}"/>
    <cellStyle name="Normal 3 3 8 3" xfId="10413" xr:uid="{00000000-0005-0000-0000-00001A220000}"/>
    <cellStyle name="Normal 3 3 8 4" xfId="10414" xr:uid="{00000000-0005-0000-0000-00001B220000}"/>
    <cellStyle name="Normal 3 3 9" xfId="10415" xr:uid="{00000000-0005-0000-0000-00001C220000}"/>
    <cellStyle name="Normal 3 3_Actual" xfId="10416" xr:uid="{00000000-0005-0000-0000-00001D220000}"/>
    <cellStyle name="Normal 3 4" xfId="1389" xr:uid="{00000000-0005-0000-0000-00001E220000}"/>
    <cellStyle name="Normal 3 4 10" xfId="10417" xr:uid="{00000000-0005-0000-0000-00001F220000}"/>
    <cellStyle name="Normal 3 4 11" xfId="10418" xr:uid="{00000000-0005-0000-0000-000020220000}"/>
    <cellStyle name="Normal 3 4 12" xfId="10419" xr:uid="{00000000-0005-0000-0000-000021220000}"/>
    <cellStyle name="Normal 3 4 13" xfId="10420" xr:uid="{00000000-0005-0000-0000-000022220000}"/>
    <cellStyle name="Normal 3 4 14" xfId="10421" xr:uid="{00000000-0005-0000-0000-000023220000}"/>
    <cellStyle name="Normal 3 4 2" xfId="1390" xr:uid="{00000000-0005-0000-0000-000024220000}"/>
    <cellStyle name="Normal 3 4 2 10" xfId="10422" xr:uid="{00000000-0005-0000-0000-000025220000}"/>
    <cellStyle name="Normal 3 4 2 11" xfId="10423" xr:uid="{00000000-0005-0000-0000-000026220000}"/>
    <cellStyle name="Normal 3 4 2 2" xfId="1391" xr:uid="{00000000-0005-0000-0000-000027220000}"/>
    <cellStyle name="Normal 3 4 2 2 2" xfId="1392" xr:uid="{00000000-0005-0000-0000-000028220000}"/>
    <cellStyle name="Normal 3 4 2 2 2 2" xfId="1393" xr:uid="{00000000-0005-0000-0000-000029220000}"/>
    <cellStyle name="Normal 3 4 2 2 2 2 2" xfId="1394" xr:uid="{00000000-0005-0000-0000-00002A220000}"/>
    <cellStyle name="Normal 3 4 2 2 2 3" xfId="1395" xr:uid="{00000000-0005-0000-0000-00002B220000}"/>
    <cellStyle name="Normal 3 4 2 2 3" xfId="1396" xr:uid="{00000000-0005-0000-0000-00002C220000}"/>
    <cellStyle name="Normal 3 4 2 2 3 2" xfId="1397" xr:uid="{00000000-0005-0000-0000-00002D220000}"/>
    <cellStyle name="Normal 3 4 2 2 4" xfId="1398" xr:uid="{00000000-0005-0000-0000-00002E220000}"/>
    <cellStyle name="Normal 3 4 2 3" xfId="1399" xr:uid="{00000000-0005-0000-0000-00002F220000}"/>
    <cellStyle name="Normal 3 4 2 3 2" xfId="1400" xr:uid="{00000000-0005-0000-0000-000030220000}"/>
    <cellStyle name="Normal 3 4 2 3 2 2" xfId="1401" xr:uid="{00000000-0005-0000-0000-000031220000}"/>
    <cellStyle name="Normal 3 4 2 3 3" xfId="1402" xr:uid="{00000000-0005-0000-0000-000032220000}"/>
    <cellStyle name="Normal 3 4 2 3 3 2" xfId="10424" xr:uid="{00000000-0005-0000-0000-000033220000}"/>
    <cellStyle name="Normal 3 4 2 3 4" xfId="10425" xr:uid="{00000000-0005-0000-0000-000034220000}"/>
    <cellStyle name="Normal 3 4 2 4" xfId="1403" xr:uid="{00000000-0005-0000-0000-000035220000}"/>
    <cellStyle name="Normal 3 4 2 4 2" xfId="1404" xr:uid="{00000000-0005-0000-0000-000036220000}"/>
    <cellStyle name="Normal 3 4 2 4 3" xfId="10426" xr:uid="{00000000-0005-0000-0000-000037220000}"/>
    <cellStyle name="Normal 3 4 2 4 4" xfId="10427" xr:uid="{00000000-0005-0000-0000-000038220000}"/>
    <cellStyle name="Normal 3 4 2 5" xfId="1405" xr:uid="{00000000-0005-0000-0000-000039220000}"/>
    <cellStyle name="Normal 3 4 2 5 2" xfId="10428" xr:uid="{00000000-0005-0000-0000-00003A220000}"/>
    <cellStyle name="Normal 3 4 2 5 3" xfId="10429" xr:uid="{00000000-0005-0000-0000-00003B220000}"/>
    <cellStyle name="Normal 3 4 2 5 4" xfId="10430" xr:uid="{00000000-0005-0000-0000-00003C220000}"/>
    <cellStyle name="Normal 3 4 2 6" xfId="10431" xr:uid="{00000000-0005-0000-0000-00003D220000}"/>
    <cellStyle name="Normal 3 4 2 7" xfId="10432" xr:uid="{00000000-0005-0000-0000-00003E220000}"/>
    <cellStyle name="Normal 3 4 2 8" xfId="10433" xr:uid="{00000000-0005-0000-0000-00003F220000}"/>
    <cellStyle name="Normal 3 4 2 9" xfId="10434" xr:uid="{00000000-0005-0000-0000-000040220000}"/>
    <cellStyle name="Normal 3 4 2_Actual" xfId="10435" xr:uid="{00000000-0005-0000-0000-000041220000}"/>
    <cellStyle name="Normal 3 4 3" xfId="1406" xr:uid="{00000000-0005-0000-0000-000042220000}"/>
    <cellStyle name="Normal 3 4 3 2" xfId="1407" xr:uid="{00000000-0005-0000-0000-000043220000}"/>
    <cellStyle name="Normal 3 4 3 2 2" xfId="1408" xr:uid="{00000000-0005-0000-0000-000044220000}"/>
    <cellStyle name="Normal 3 4 3 2 2 2" xfId="1409" xr:uid="{00000000-0005-0000-0000-000045220000}"/>
    <cellStyle name="Normal 3 4 3 2 3" xfId="1410" xr:uid="{00000000-0005-0000-0000-000046220000}"/>
    <cellStyle name="Normal 3 4 3 2 3 2" xfId="10436" xr:uid="{00000000-0005-0000-0000-000047220000}"/>
    <cellStyle name="Normal 3 4 3 2 4" xfId="10437" xr:uid="{00000000-0005-0000-0000-000048220000}"/>
    <cellStyle name="Normal 3 4 3 3" xfId="1411" xr:uid="{00000000-0005-0000-0000-000049220000}"/>
    <cellStyle name="Normal 3 4 3 3 2" xfId="1412" xr:uid="{00000000-0005-0000-0000-00004A220000}"/>
    <cellStyle name="Normal 3 4 3 3 2 2" xfId="10438" xr:uid="{00000000-0005-0000-0000-00004B220000}"/>
    <cellStyle name="Normal 3 4 3 3 3" xfId="10439" xr:uid="{00000000-0005-0000-0000-00004C220000}"/>
    <cellStyle name="Normal 3 4 3 3 3 2" xfId="10440" xr:uid="{00000000-0005-0000-0000-00004D220000}"/>
    <cellStyle name="Normal 3 4 3 3 4" xfId="10441" xr:uid="{00000000-0005-0000-0000-00004E220000}"/>
    <cellStyle name="Normal 3 4 3 4" xfId="1413" xr:uid="{00000000-0005-0000-0000-00004F220000}"/>
    <cellStyle name="Normal 3 4 3 4 2" xfId="10442" xr:uid="{00000000-0005-0000-0000-000050220000}"/>
    <cellStyle name="Normal 3 4 3 4 3" xfId="10443" xr:uid="{00000000-0005-0000-0000-000051220000}"/>
    <cellStyle name="Normal 3 4 3 4 4" xfId="10444" xr:uid="{00000000-0005-0000-0000-000052220000}"/>
    <cellStyle name="Normal 3 4 3 5" xfId="10445" xr:uid="{00000000-0005-0000-0000-000053220000}"/>
    <cellStyle name="Normal 3 4 3 5 2" xfId="10446" xr:uid="{00000000-0005-0000-0000-000054220000}"/>
    <cellStyle name="Normal 3 4 3 5 3" xfId="10447" xr:uid="{00000000-0005-0000-0000-000055220000}"/>
    <cellStyle name="Normal 3 4 3 5 4" xfId="10448" xr:uid="{00000000-0005-0000-0000-000056220000}"/>
    <cellStyle name="Normal 3 4 3 6" xfId="10449" xr:uid="{00000000-0005-0000-0000-000057220000}"/>
    <cellStyle name="Normal 3 4 3 7" xfId="10450" xr:uid="{00000000-0005-0000-0000-000058220000}"/>
    <cellStyle name="Normal 3 4 3 8" xfId="10451" xr:uid="{00000000-0005-0000-0000-000059220000}"/>
    <cellStyle name="Normal 3 4 3 9" xfId="10452" xr:uid="{00000000-0005-0000-0000-00005A220000}"/>
    <cellStyle name="Normal 3 4 3_Actual" xfId="10453" xr:uid="{00000000-0005-0000-0000-00005B220000}"/>
    <cellStyle name="Normal 3 4 4" xfId="1414" xr:uid="{00000000-0005-0000-0000-00005C220000}"/>
    <cellStyle name="Normal 3 4 4 2" xfId="1415" xr:uid="{00000000-0005-0000-0000-00005D220000}"/>
    <cellStyle name="Normal 3 4 4 2 2" xfId="1416" xr:uid="{00000000-0005-0000-0000-00005E220000}"/>
    <cellStyle name="Normal 3 4 4 2 2 2" xfId="10454" xr:uid="{00000000-0005-0000-0000-00005F220000}"/>
    <cellStyle name="Normal 3 4 4 2 3" xfId="10455" xr:uid="{00000000-0005-0000-0000-000060220000}"/>
    <cellStyle name="Normal 3 4 4 2 3 2" xfId="10456" xr:uid="{00000000-0005-0000-0000-000061220000}"/>
    <cellStyle name="Normal 3 4 4 2 4" xfId="10457" xr:uid="{00000000-0005-0000-0000-000062220000}"/>
    <cellStyle name="Normal 3 4 4 3" xfId="1417" xr:uid="{00000000-0005-0000-0000-000063220000}"/>
    <cellStyle name="Normal 3 4 4 3 2" xfId="10458" xr:uid="{00000000-0005-0000-0000-000064220000}"/>
    <cellStyle name="Normal 3 4 4 3 2 2" xfId="10459" xr:uid="{00000000-0005-0000-0000-000065220000}"/>
    <cellStyle name="Normal 3 4 4 3 3" xfId="10460" xr:uid="{00000000-0005-0000-0000-000066220000}"/>
    <cellStyle name="Normal 3 4 4 3 3 2" xfId="10461" xr:uid="{00000000-0005-0000-0000-000067220000}"/>
    <cellStyle name="Normal 3 4 4 3 4" xfId="10462" xr:uid="{00000000-0005-0000-0000-000068220000}"/>
    <cellStyle name="Normal 3 4 4 4" xfId="10463" xr:uid="{00000000-0005-0000-0000-000069220000}"/>
    <cellStyle name="Normal 3 4 4 4 2" xfId="10464" xr:uid="{00000000-0005-0000-0000-00006A220000}"/>
    <cellStyle name="Normal 3 4 4 4 3" xfId="10465" xr:uid="{00000000-0005-0000-0000-00006B220000}"/>
    <cellStyle name="Normal 3 4 4 4 4" xfId="10466" xr:uid="{00000000-0005-0000-0000-00006C220000}"/>
    <cellStyle name="Normal 3 4 4 5" xfId="10467" xr:uid="{00000000-0005-0000-0000-00006D220000}"/>
    <cellStyle name="Normal 3 4 4 5 2" xfId="10468" xr:uid="{00000000-0005-0000-0000-00006E220000}"/>
    <cellStyle name="Normal 3 4 4 5 3" xfId="10469" xr:uid="{00000000-0005-0000-0000-00006F220000}"/>
    <cellStyle name="Normal 3 4 4 5 4" xfId="10470" xr:uid="{00000000-0005-0000-0000-000070220000}"/>
    <cellStyle name="Normal 3 4 4 6" xfId="10471" xr:uid="{00000000-0005-0000-0000-000071220000}"/>
    <cellStyle name="Normal 3 4 4 7" xfId="10472" xr:uid="{00000000-0005-0000-0000-000072220000}"/>
    <cellStyle name="Normal 3 4 4 8" xfId="10473" xr:uid="{00000000-0005-0000-0000-000073220000}"/>
    <cellStyle name="Normal 3 4 4 9" xfId="10474" xr:uid="{00000000-0005-0000-0000-000074220000}"/>
    <cellStyle name="Normal 3 4 4_Actual" xfId="10475" xr:uid="{00000000-0005-0000-0000-000075220000}"/>
    <cellStyle name="Normal 3 4 5" xfId="1418" xr:uid="{00000000-0005-0000-0000-000076220000}"/>
    <cellStyle name="Normal 3 4 5 2" xfId="1419" xr:uid="{00000000-0005-0000-0000-000077220000}"/>
    <cellStyle name="Normal 3 4 5 2 2" xfId="10476" xr:uid="{00000000-0005-0000-0000-000078220000}"/>
    <cellStyle name="Normal 3 4 5 3" xfId="10477" xr:uid="{00000000-0005-0000-0000-000079220000}"/>
    <cellStyle name="Normal 3 4 5 3 2" xfId="10478" xr:uid="{00000000-0005-0000-0000-00007A220000}"/>
    <cellStyle name="Normal 3 4 5 4" xfId="10479" xr:uid="{00000000-0005-0000-0000-00007B220000}"/>
    <cellStyle name="Normal 3 4 6" xfId="1420" xr:uid="{00000000-0005-0000-0000-00007C220000}"/>
    <cellStyle name="Normal 3 4 6 2" xfId="10480" xr:uid="{00000000-0005-0000-0000-00007D220000}"/>
    <cellStyle name="Normal 3 4 6 2 2" xfId="10481" xr:uid="{00000000-0005-0000-0000-00007E220000}"/>
    <cellStyle name="Normal 3 4 6 3" xfId="10482" xr:uid="{00000000-0005-0000-0000-00007F220000}"/>
    <cellStyle name="Normal 3 4 6 3 2" xfId="10483" xr:uid="{00000000-0005-0000-0000-000080220000}"/>
    <cellStyle name="Normal 3 4 6 4" xfId="10484" xr:uid="{00000000-0005-0000-0000-000081220000}"/>
    <cellStyle name="Normal 3 4 7" xfId="10485" xr:uid="{00000000-0005-0000-0000-000082220000}"/>
    <cellStyle name="Normal 3 4 7 2" xfId="10486" xr:uid="{00000000-0005-0000-0000-000083220000}"/>
    <cellStyle name="Normal 3 4 7 2 2" xfId="10487" xr:uid="{00000000-0005-0000-0000-000084220000}"/>
    <cellStyle name="Normal 3 4 7 3" xfId="10488" xr:uid="{00000000-0005-0000-0000-000085220000}"/>
    <cellStyle name="Normal 3 4 7 4" xfId="10489" xr:uid="{00000000-0005-0000-0000-000086220000}"/>
    <cellStyle name="Normal 3 4 8" xfId="10490" xr:uid="{00000000-0005-0000-0000-000087220000}"/>
    <cellStyle name="Normal 3 4 8 2" xfId="10491" xr:uid="{00000000-0005-0000-0000-000088220000}"/>
    <cellStyle name="Normal 3 4 8 3" xfId="10492" xr:uid="{00000000-0005-0000-0000-000089220000}"/>
    <cellStyle name="Normal 3 4 8 4" xfId="10493" xr:uid="{00000000-0005-0000-0000-00008A220000}"/>
    <cellStyle name="Normal 3 4 9" xfId="10494" xr:uid="{00000000-0005-0000-0000-00008B220000}"/>
    <cellStyle name="Normal 3 4_Actual" xfId="10495" xr:uid="{00000000-0005-0000-0000-00008C220000}"/>
    <cellStyle name="Normal 3 5" xfId="1421" xr:uid="{00000000-0005-0000-0000-00008D220000}"/>
    <cellStyle name="Normal 3 5 10" xfId="10496" xr:uid="{00000000-0005-0000-0000-00008E220000}"/>
    <cellStyle name="Normal 3 5 11" xfId="10497" xr:uid="{00000000-0005-0000-0000-00008F220000}"/>
    <cellStyle name="Normal 3 5 12" xfId="10498" xr:uid="{00000000-0005-0000-0000-000090220000}"/>
    <cellStyle name="Normal 3 5 13" xfId="10499" xr:uid="{00000000-0005-0000-0000-000091220000}"/>
    <cellStyle name="Normal 3 5 2" xfId="1422" xr:uid="{00000000-0005-0000-0000-000092220000}"/>
    <cellStyle name="Normal 3 5 2 10" xfId="10500" xr:uid="{00000000-0005-0000-0000-000093220000}"/>
    <cellStyle name="Normal 3 5 2 2" xfId="1423" xr:uid="{00000000-0005-0000-0000-000094220000}"/>
    <cellStyle name="Normal 3 5 2 2 2" xfId="1424" xr:uid="{00000000-0005-0000-0000-000095220000}"/>
    <cellStyle name="Normal 3 5 2 2 2 2" xfId="1425" xr:uid="{00000000-0005-0000-0000-000096220000}"/>
    <cellStyle name="Normal 3 5 2 2 3" xfId="1426" xr:uid="{00000000-0005-0000-0000-000097220000}"/>
    <cellStyle name="Normal 3 5 2 2 3 2" xfId="10501" xr:uid="{00000000-0005-0000-0000-000098220000}"/>
    <cellStyle name="Normal 3 5 2 2 4" xfId="10502" xr:uid="{00000000-0005-0000-0000-000099220000}"/>
    <cellStyle name="Normal 3 5 2 2 5" xfId="10503" xr:uid="{00000000-0005-0000-0000-00009A220000}"/>
    <cellStyle name="Normal 3 5 2 3" xfId="1427" xr:uid="{00000000-0005-0000-0000-00009B220000}"/>
    <cellStyle name="Normal 3 5 2 3 2" xfId="1428" xr:uid="{00000000-0005-0000-0000-00009C220000}"/>
    <cellStyle name="Normal 3 5 2 3 2 2" xfId="10504" xr:uid="{00000000-0005-0000-0000-00009D220000}"/>
    <cellStyle name="Normal 3 5 2 3 3" xfId="10505" xr:uid="{00000000-0005-0000-0000-00009E220000}"/>
    <cellStyle name="Normal 3 5 2 3 3 2" xfId="10506" xr:uid="{00000000-0005-0000-0000-00009F220000}"/>
    <cellStyle name="Normal 3 5 2 3 4" xfId="10507" xr:uid="{00000000-0005-0000-0000-0000A0220000}"/>
    <cellStyle name="Normal 3 5 2 4" xfId="1429" xr:uid="{00000000-0005-0000-0000-0000A1220000}"/>
    <cellStyle name="Normal 3 5 2 4 2" xfId="10508" xr:uid="{00000000-0005-0000-0000-0000A2220000}"/>
    <cellStyle name="Normal 3 5 2 4 3" xfId="10509" xr:uid="{00000000-0005-0000-0000-0000A3220000}"/>
    <cellStyle name="Normal 3 5 2 4 4" xfId="10510" xr:uid="{00000000-0005-0000-0000-0000A4220000}"/>
    <cellStyle name="Normal 3 5 2 5" xfId="10511" xr:uid="{00000000-0005-0000-0000-0000A5220000}"/>
    <cellStyle name="Normal 3 5 2 5 2" xfId="10512" xr:uid="{00000000-0005-0000-0000-0000A6220000}"/>
    <cellStyle name="Normal 3 5 2 5 3" xfId="10513" xr:uid="{00000000-0005-0000-0000-0000A7220000}"/>
    <cellStyle name="Normal 3 5 2 5 4" xfId="10514" xr:uid="{00000000-0005-0000-0000-0000A8220000}"/>
    <cellStyle name="Normal 3 5 2 6" xfId="10515" xr:uid="{00000000-0005-0000-0000-0000A9220000}"/>
    <cellStyle name="Normal 3 5 2 7" xfId="10516" xr:uid="{00000000-0005-0000-0000-0000AA220000}"/>
    <cellStyle name="Normal 3 5 2 8" xfId="10517" xr:uid="{00000000-0005-0000-0000-0000AB220000}"/>
    <cellStyle name="Normal 3 5 2 9" xfId="10518" xr:uid="{00000000-0005-0000-0000-0000AC220000}"/>
    <cellStyle name="Normal 3 5 2_Actual" xfId="10519" xr:uid="{00000000-0005-0000-0000-0000AD220000}"/>
    <cellStyle name="Normal 3 5 3" xfId="1430" xr:uid="{00000000-0005-0000-0000-0000AE220000}"/>
    <cellStyle name="Normal 3 5 3 10" xfId="10520" xr:uid="{00000000-0005-0000-0000-0000AF220000}"/>
    <cellStyle name="Normal 3 5 3 2" xfId="1431" xr:uid="{00000000-0005-0000-0000-0000B0220000}"/>
    <cellStyle name="Normal 3 5 3 2 2" xfId="1432" xr:uid="{00000000-0005-0000-0000-0000B1220000}"/>
    <cellStyle name="Normal 3 5 3 2 2 2" xfId="10521" xr:uid="{00000000-0005-0000-0000-0000B2220000}"/>
    <cellStyle name="Normal 3 5 3 2 3" xfId="10522" xr:uid="{00000000-0005-0000-0000-0000B3220000}"/>
    <cellStyle name="Normal 3 5 3 2 3 2" xfId="10523" xr:uid="{00000000-0005-0000-0000-0000B4220000}"/>
    <cellStyle name="Normal 3 5 3 2 4" xfId="10524" xr:uid="{00000000-0005-0000-0000-0000B5220000}"/>
    <cellStyle name="Normal 3 5 3 3" xfId="1433" xr:uid="{00000000-0005-0000-0000-0000B6220000}"/>
    <cellStyle name="Normal 3 5 3 3 2" xfId="10525" xr:uid="{00000000-0005-0000-0000-0000B7220000}"/>
    <cellStyle name="Normal 3 5 3 3 2 2" xfId="10526" xr:uid="{00000000-0005-0000-0000-0000B8220000}"/>
    <cellStyle name="Normal 3 5 3 3 3" xfId="10527" xr:uid="{00000000-0005-0000-0000-0000B9220000}"/>
    <cellStyle name="Normal 3 5 3 3 3 2" xfId="10528" xr:uid="{00000000-0005-0000-0000-0000BA220000}"/>
    <cellStyle name="Normal 3 5 3 3 4" xfId="10529" xr:uid="{00000000-0005-0000-0000-0000BB220000}"/>
    <cellStyle name="Normal 3 5 3 4" xfId="10530" xr:uid="{00000000-0005-0000-0000-0000BC220000}"/>
    <cellStyle name="Normal 3 5 3 4 2" xfId="10531" xr:uid="{00000000-0005-0000-0000-0000BD220000}"/>
    <cellStyle name="Normal 3 5 3 4 3" xfId="10532" xr:uid="{00000000-0005-0000-0000-0000BE220000}"/>
    <cellStyle name="Normal 3 5 3 4 4" xfId="10533" xr:uid="{00000000-0005-0000-0000-0000BF220000}"/>
    <cellStyle name="Normal 3 5 3 5" xfId="10534" xr:uid="{00000000-0005-0000-0000-0000C0220000}"/>
    <cellStyle name="Normal 3 5 3 5 2" xfId="10535" xr:uid="{00000000-0005-0000-0000-0000C1220000}"/>
    <cellStyle name="Normal 3 5 3 5 3" xfId="10536" xr:uid="{00000000-0005-0000-0000-0000C2220000}"/>
    <cellStyle name="Normal 3 5 3 5 4" xfId="10537" xr:uid="{00000000-0005-0000-0000-0000C3220000}"/>
    <cellStyle name="Normal 3 5 3 6" xfId="10538" xr:uid="{00000000-0005-0000-0000-0000C4220000}"/>
    <cellStyle name="Normal 3 5 3 7" xfId="10539" xr:uid="{00000000-0005-0000-0000-0000C5220000}"/>
    <cellStyle name="Normal 3 5 3 8" xfId="10540" xr:uid="{00000000-0005-0000-0000-0000C6220000}"/>
    <cellStyle name="Normal 3 5 3 9" xfId="10541" xr:uid="{00000000-0005-0000-0000-0000C7220000}"/>
    <cellStyle name="Normal 3 5 3_Actual" xfId="10542" xr:uid="{00000000-0005-0000-0000-0000C8220000}"/>
    <cellStyle name="Normal 3 5 4" xfId="1434" xr:uid="{00000000-0005-0000-0000-0000C9220000}"/>
    <cellStyle name="Normal 3 5 4 2" xfId="1435" xr:uid="{00000000-0005-0000-0000-0000CA220000}"/>
    <cellStyle name="Normal 3 5 4 2 2" xfId="10543" xr:uid="{00000000-0005-0000-0000-0000CB220000}"/>
    <cellStyle name="Normal 3 5 4 2 2 2" xfId="10544" xr:uid="{00000000-0005-0000-0000-0000CC220000}"/>
    <cellStyle name="Normal 3 5 4 2 3" xfId="10545" xr:uid="{00000000-0005-0000-0000-0000CD220000}"/>
    <cellStyle name="Normal 3 5 4 2 3 2" xfId="10546" xr:uid="{00000000-0005-0000-0000-0000CE220000}"/>
    <cellStyle name="Normal 3 5 4 2 4" xfId="10547" xr:uid="{00000000-0005-0000-0000-0000CF220000}"/>
    <cellStyle name="Normal 3 5 4 3" xfId="10548" xr:uid="{00000000-0005-0000-0000-0000D0220000}"/>
    <cellStyle name="Normal 3 5 4 3 2" xfId="10549" xr:uid="{00000000-0005-0000-0000-0000D1220000}"/>
    <cellStyle name="Normal 3 5 4 3 2 2" xfId="10550" xr:uid="{00000000-0005-0000-0000-0000D2220000}"/>
    <cellStyle name="Normal 3 5 4 3 3" xfId="10551" xr:uid="{00000000-0005-0000-0000-0000D3220000}"/>
    <cellStyle name="Normal 3 5 4 3 3 2" xfId="10552" xr:uid="{00000000-0005-0000-0000-0000D4220000}"/>
    <cellStyle name="Normal 3 5 4 3 4" xfId="10553" xr:uid="{00000000-0005-0000-0000-0000D5220000}"/>
    <cellStyle name="Normal 3 5 4 4" xfId="10554" xr:uid="{00000000-0005-0000-0000-0000D6220000}"/>
    <cellStyle name="Normal 3 5 4 4 2" xfId="10555" xr:uid="{00000000-0005-0000-0000-0000D7220000}"/>
    <cellStyle name="Normal 3 5 4 4 3" xfId="10556" xr:uid="{00000000-0005-0000-0000-0000D8220000}"/>
    <cellStyle name="Normal 3 5 4 4 4" xfId="10557" xr:uid="{00000000-0005-0000-0000-0000D9220000}"/>
    <cellStyle name="Normal 3 5 4 5" xfId="10558" xr:uid="{00000000-0005-0000-0000-0000DA220000}"/>
    <cellStyle name="Normal 3 5 4 5 2" xfId="10559" xr:uid="{00000000-0005-0000-0000-0000DB220000}"/>
    <cellStyle name="Normal 3 5 4 5 3" xfId="10560" xr:uid="{00000000-0005-0000-0000-0000DC220000}"/>
    <cellStyle name="Normal 3 5 4 5 4" xfId="10561" xr:uid="{00000000-0005-0000-0000-0000DD220000}"/>
    <cellStyle name="Normal 3 5 4 6" xfId="10562" xr:uid="{00000000-0005-0000-0000-0000DE220000}"/>
    <cellStyle name="Normal 3 5 4 7" xfId="10563" xr:uid="{00000000-0005-0000-0000-0000DF220000}"/>
    <cellStyle name="Normal 3 5 4 8" xfId="10564" xr:uid="{00000000-0005-0000-0000-0000E0220000}"/>
    <cellStyle name="Normal 3 5 4 9" xfId="10565" xr:uid="{00000000-0005-0000-0000-0000E1220000}"/>
    <cellStyle name="Normal 3 5 4_Actual" xfId="10566" xr:uid="{00000000-0005-0000-0000-0000E2220000}"/>
    <cellStyle name="Normal 3 5 5" xfId="1436" xr:uid="{00000000-0005-0000-0000-0000E3220000}"/>
    <cellStyle name="Normal 3 5 5 2" xfId="10567" xr:uid="{00000000-0005-0000-0000-0000E4220000}"/>
    <cellStyle name="Normal 3 5 5 2 2" xfId="10568" xr:uid="{00000000-0005-0000-0000-0000E5220000}"/>
    <cellStyle name="Normal 3 5 5 3" xfId="10569" xr:uid="{00000000-0005-0000-0000-0000E6220000}"/>
    <cellStyle name="Normal 3 5 5 3 2" xfId="10570" xr:uid="{00000000-0005-0000-0000-0000E7220000}"/>
    <cellStyle name="Normal 3 5 5 4" xfId="10571" xr:uid="{00000000-0005-0000-0000-0000E8220000}"/>
    <cellStyle name="Normal 3 5 6" xfId="10572" xr:uid="{00000000-0005-0000-0000-0000E9220000}"/>
    <cellStyle name="Normal 3 5 6 2" xfId="10573" xr:uid="{00000000-0005-0000-0000-0000EA220000}"/>
    <cellStyle name="Normal 3 5 6 2 2" xfId="10574" xr:uid="{00000000-0005-0000-0000-0000EB220000}"/>
    <cellStyle name="Normal 3 5 6 3" xfId="10575" xr:uid="{00000000-0005-0000-0000-0000EC220000}"/>
    <cellStyle name="Normal 3 5 6 3 2" xfId="10576" xr:uid="{00000000-0005-0000-0000-0000ED220000}"/>
    <cellStyle name="Normal 3 5 6 4" xfId="10577" xr:uid="{00000000-0005-0000-0000-0000EE220000}"/>
    <cellStyle name="Normal 3 5 7" xfId="10578" xr:uid="{00000000-0005-0000-0000-0000EF220000}"/>
    <cellStyle name="Normal 3 5 7 2" xfId="10579" xr:uid="{00000000-0005-0000-0000-0000F0220000}"/>
    <cellStyle name="Normal 3 5 7 3" xfId="10580" xr:uid="{00000000-0005-0000-0000-0000F1220000}"/>
    <cellStyle name="Normal 3 5 7 4" xfId="10581" xr:uid="{00000000-0005-0000-0000-0000F2220000}"/>
    <cellStyle name="Normal 3 5 8" xfId="10582" xr:uid="{00000000-0005-0000-0000-0000F3220000}"/>
    <cellStyle name="Normal 3 5 8 2" xfId="10583" xr:uid="{00000000-0005-0000-0000-0000F4220000}"/>
    <cellStyle name="Normal 3 5 8 3" xfId="10584" xr:uid="{00000000-0005-0000-0000-0000F5220000}"/>
    <cellStyle name="Normal 3 5 8 4" xfId="10585" xr:uid="{00000000-0005-0000-0000-0000F6220000}"/>
    <cellStyle name="Normal 3 5 9" xfId="10586" xr:uid="{00000000-0005-0000-0000-0000F7220000}"/>
    <cellStyle name="Normal 3 5_Actual" xfId="10587" xr:uid="{00000000-0005-0000-0000-0000F8220000}"/>
    <cellStyle name="Normal 3 6" xfId="1437" xr:uid="{00000000-0005-0000-0000-0000F9220000}"/>
    <cellStyle name="Normal 3 6 10" xfId="10588" xr:uid="{00000000-0005-0000-0000-0000FA220000}"/>
    <cellStyle name="Normal 3 6 2" xfId="1438" xr:uid="{00000000-0005-0000-0000-0000FB220000}"/>
    <cellStyle name="Normal 3 6 2 2" xfId="1439" xr:uid="{00000000-0005-0000-0000-0000FC220000}"/>
    <cellStyle name="Normal 3 6 2 2 2" xfId="1440" xr:uid="{00000000-0005-0000-0000-0000FD220000}"/>
    <cellStyle name="Normal 3 6 2 3" xfId="1441" xr:uid="{00000000-0005-0000-0000-0000FE220000}"/>
    <cellStyle name="Normal 3 6 2 3 2" xfId="10589" xr:uid="{00000000-0005-0000-0000-0000FF220000}"/>
    <cellStyle name="Normal 3 6 2 4" xfId="10590" xr:uid="{00000000-0005-0000-0000-000000230000}"/>
    <cellStyle name="Normal 3 6 2 5" xfId="10591" xr:uid="{00000000-0005-0000-0000-000001230000}"/>
    <cellStyle name="Normal 3 6 3" xfId="1442" xr:uid="{00000000-0005-0000-0000-000002230000}"/>
    <cellStyle name="Normal 3 6 3 2" xfId="1443" xr:uid="{00000000-0005-0000-0000-000003230000}"/>
    <cellStyle name="Normal 3 6 3 2 2" xfId="10592" xr:uid="{00000000-0005-0000-0000-000004230000}"/>
    <cellStyle name="Normal 3 6 3 3" xfId="10593" xr:uid="{00000000-0005-0000-0000-000005230000}"/>
    <cellStyle name="Normal 3 6 3 3 2" xfId="10594" xr:uid="{00000000-0005-0000-0000-000006230000}"/>
    <cellStyle name="Normal 3 6 3 4" xfId="10595" xr:uid="{00000000-0005-0000-0000-000007230000}"/>
    <cellStyle name="Normal 3 6 3 5" xfId="10596" xr:uid="{00000000-0005-0000-0000-000008230000}"/>
    <cellStyle name="Normal 3 6 4" xfId="1444" xr:uid="{00000000-0005-0000-0000-000009230000}"/>
    <cellStyle name="Normal 3 6 4 2" xfId="10597" xr:uid="{00000000-0005-0000-0000-00000A230000}"/>
    <cellStyle name="Normal 3 6 4 3" xfId="10598" xr:uid="{00000000-0005-0000-0000-00000B230000}"/>
    <cellStyle name="Normal 3 6 4 4" xfId="10599" xr:uid="{00000000-0005-0000-0000-00000C230000}"/>
    <cellStyle name="Normal 3 6 5" xfId="10600" xr:uid="{00000000-0005-0000-0000-00000D230000}"/>
    <cellStyle name="Normal 3 6 5 2" xfId="10601" xr:uid="{00000000-0005-0000-0000-00000E230000}"/>
    <cellStyle name="Normal 3 6 5 3" xfId="10602" xr:uid="{00000000-0005-0000-0000-00000F230000}"/>
    <cellStyle name="Normal 3 6 5 4" xfId="10603" xr:uid="{00000000-0005-0000-0000-000010230000}"/>
    <cellStyle name="Normal 3 6 6" xfId="10604" xr:uid="{00000000-0005-0000-0000-000011230000}"/>
    <cellStyle name="Normal 3 6 6 2" xfId="10605" xr:uid="{00000000-0005-0000-0000-000012230000}"/>
    <cellStyle name="Normal 3 6 7" xfId="10606" xr:uid="{00000000-0005-0000-0000-000013230000}"/>
    <cellStyle name="Normal 3 6 8" xfId="10607" xr:uid="{00000000-0005-0000-0000-000014230000}"/>
    <cellStyle name="Normal 3 6 9" xfId="10608" xr:uid="{00000000-0005-0000-0000-000015230000}"/>
    <cellStyle name="Normal 3 6_Actual" xfId="10609" xr:uid="{00000000-0005-0000-0000-000016230000}"/>
    <cellStyle name="Normal 3 7" xfId="1445" xr:uid="{00000000-0005-0000-0000-000017230000}"/>
    <cellStyle name="Normal 3 7 2" xfId="1446" xr:uid="{00000000-0005-0000-0000-000018230000}"/>
    <cellStyle name="Normal 3 7 2 2" xfId="1447" xr:uid="{00000000-0005-0000-0000-000019230000}"/>
    <cellStyle name="Normal 3 7 3" xfId="1448" xr:uid="{00000000-0005-0000-0000-00001A230000}"/>
    <cellStyle name="Normal 3 7 3 2" xfId="10610" xr:uid="{00000000-0005-0000-0000-00001B230000}"/>
    <cellStyle name="Normal 3 7 4" xfId="10611" xr:uid="{00000000-0005-0000-0000-00001C230000}"/>
    <cellStyle name="Normal 3 7 5" xfId="10612" xr:uid="{00000000-0005-0000-0000-00001D230000}"/>
    <cellStyle name="Normal 3 7 6" xfId="10613" xr:uid="{00000000-0005-0000-0000-00001E230000}"/>
    <cellStyle name="Normal 3 8" xfId="1449" xr:uid="{00000000-0005-0000-0000-00001F230000}"/>
    <cellStyle name="Normal 3 8 2" xfId="1450" xr:uid="{00000000-0005-0000-0000-000020230000}"/>
    <cellStyle name="Normal 3 8 2 2" xfId="10614" xr:uid="{00000000-0005-0000-0000-000021230000}"/>
    <cellStyle name="Normal 3 8 3" xfId="10615" xr:uid="{00000000-0005-0000-0000-000022230000}"/>
    <cellStyle name="Normal 3 8 3 2" xfId="10616" xr:uid="{00000000-0005-0000-0000-000023230000}"/>
    <cellStyle name="Normal 3 8 4" xfId="10617" xr:uid="{00000000-0005-0000-0000-000024230000}"/>
    <cellStyle name="Normal 3 8 5" xfId="10618" xr:uid="{00000000-0005-0000-0000-000025230000}"/>
    <cellStyle name="Normal 3 8 6" xfId="10619" xr:uid="{00000000-0005-0000-0000-000026230000}"/>
    <cellStyle name="Normal 3 9" xfId="1451" xr:uid="{00000000-0005-0000-0000-000027230000}"/>
    <cellStyle name="Normal 3 9 2" xfId="10620" xr:uid="{00000000-0005-0000-0000-000028230000}"/>
    <cellStyle name="Normal 3 9 3" xfId="10621" xr:uid="{00000000-0005-0000-0000-000029230000}"/>
    <cellStyle name="Normal 3 9 4" xfId="10622" xr:uid="{00000000-0005-0000-0000-00002A230000}"/>
    <cellStyle name="Normal 3_12-10 Form 1 Filing and supporting papers-Nivision Revised" xfId="10623" xr:uid="{00000000-0005-0000-0000-00002B230000}"/>
    <cellStyle name="Normal 30" xfId="10624" xr:uid="{00000000-0005-0000-0000-00002C230000}"/>
    <cellStyle name="Normal 30 10" xfId="10625" xr:uid="{00000000-0005-0000-0000-00002D230000}"/>
    <cellStyle name="Normal 30 11" xfId="10626" xr:uid="{00000000-0005-0000-0000-00002E230000}"/>
    <cellStyle name="Normal 30 12" xfId="10627" xr:uid="{00000000-0005-0000-0000-00002F230000}"/>
    <cellStyle name="Normal 30 2" xfId="10628" xr:uid="{00000000-0005-0000-0000-000030230000}"/>
    <cellStyle name="Normal 30 2 2" xfId="10629" xr:uid="{00000000-0005-0000-0000-000031230000}"/>
    <cellStyle name="Normal 30 2 2 2" xfId="10630" xr:uid="{00000000-0005-0000-0000-000032230000}"/>
    <cellStyle name="Normal 30 2 2 3" xfId="10631" xr:uid="{00000000-0005-0000-0000-000033230000}"/>
    <cellStyle name="Normal 30 2 3" xfId="10632" xr:uid="{00000000-0005-0000-0000-000034230000}"/>
    <cellStyle name="Normal 30 2 3 2" xfId="10633" xr:uid="{00000000-0005-0000-0000-000035230000}"/>
    <cellStyle name="Normal 30 2 4" xfId="10634" xr:uid="{00000000-0005-0000-0000-000036230000}"/>
    <cellStyle name="Normal 30 2 5" xfId="10635" xr:uid="{00000000-0005-0000-0000-000037230000}"/>
    <cellStyle name="Normal 30 2 6" xfId="10636" xr:uid="{00000000-0005-0000-0000-000038230000}"/>
    <cellStyle name="Normal 30 2 7" xfId="10637" xr:uid="{00000000-0005-0000-0000-000039230000}"/>
    <cellStyle name="Normal 30 2 8" xfId="10638" xr:uid="{00000000-0005-0000-0000-00003A230000}"/>
    <cellStyle name="Normal 30 2 9" xfId="10639" xr:uid="{00000000-0005-0000-0000-00003B230000}"/>
    <cellStyle name="Normal 30 3" xfId="10640" xr:uid="{00000000-0005-0000-0000-00003C230000}"/>
    <cellStyle name="Normal 30 3 2" xfId="10641" xr:uid="{00000000-0005-0000-0000-00003D230000}"/>
    <cellStyle name="Normal 30 3 2 2" xfId="10642" xr:uid="{00000000-0005-0000-0000-00003E230000}"/>
    <cellStyle name="Normal 30 3 3" xfId="10643" xr:uid="{00000000-0005-0000-0000-00003F230000}"/>
    <cellStyle name="Normal 30 3 4" xfId="10644" xr:uid="{00000000-0005-0000-0000-000040230000}"/>
    <cellStyle name="Normal 30 3 5" xfId="10645" xr:uid="{00000000-0005-0000-0000-000041230000}"/>
    <cellStyle name="Normal 30 4" xfId="10646" xr:uid="{00000000-0005-0000-0000-000042230000}"/>
    <cellStyle name="Normal 30 4 2" xfId="10647" xr:uid="{00000000-0005-0000-0000-000043230000}"/>
    <cellStyle name="Normal 30 5" xfId="10648" xr:uid="{00000000-0005-0000-0000-000044230000}"/>
    <cellStyle name="Normal 30 5 2" xfId="10649" xr:uid="{00000000-0005-0000-0000-000045230000}"/>
    <cellStyle name="Normal 30 6" xfId="10650" xr:uid="{00000000-0005-0000-0000-000046230000}"/>
    <cellStyle name="Normal 30 6 2" xfId="10651" xr:uid="{00000000-0005-0000-0000-000047230000}"/>
    <cellStyle name="Normal 30 7" xfId="10652" xr:uid="{00000000-0005-0000-0000-000048230000}"/>
    <cellStyle name="Normal 30 8" xfId="10653" xr:uid="{00000000-0005-0000-0000-000049230000}"/>
    <cellStyle name="Normal 30 9" xfId="10654" xr:uid="{00000000-0005-0000-0000-00004A230000}"/>
    <cellStyle name="Normal 31" xfId="10655" xr:uid="{00000000-0005-0000-0000-00004B230000}"/>
    <cellStyle name="Normal 31 10" xfId="10656" xr:uid="{00000000-0005-0000-0000-00004C230000}"/>
    <cellStyle name="Normal 31 11" xfId="10657" xr:uid="{00000000-0005-0000-0000-00004D230000}"/>
    <cellStyle name="Normal 31 12" xfId="10658" xr:uid="{00000000-0005-0000-0000-00004E230000}"/>
    <cellStyle name="Normal 31 2" xfId="10659" xr:uid="{00000000-0005-0000-0000-00004F230000}"/>
    <cellStyle name="Normal 31 2 2" xfId="10660" xr:uid="{00000000-0005-0000-0000-000050230000}"/>
    <cellStyle name="Normal 31 2 2 2" xfId="10661" xr:uid="{00000000-0005-0000-0000-000051230000}"/>
    <cellStyle name="Normal 31 2 2 3" xfId="10662" xr:uid="{00000000-0005-0000-0000-000052230000}"/>
    <cellStyle name="Normal 31 2 3" xfId="10663" xr:uid="{00000000-0005-0000-0000-000053230000}"/>
    <cellStyle name="Normal 31 2 3 2" xfId="10664" xr:uid="{00000000-0005-0000-0000-000054230000}"/>
    <cellStyle name="Normal 31 2 4" xfId="10665" xr:uid="{00000000-0005-0000-0000-000055230000}"/>
    <cellStyle name="Normal 31 2 5" xfId="10666" xr:uid="{00000000-0005-0000-0000-000056230000}"/>
    <cellStyle name="Normal 31 2 6" xfId="10667" xr:uid="{00000000-0005-0000-0000-000057230000}"/>
    <cellStyle name="Normal 31 2 7" xfId="10668" xr:uid="{00000000-0005-0000-0000-000058230000}"/>
    <cellStyle name="Normal 31 2 8" xfId="10669" xr:uid="{00000000-0005-0000-0000-000059230000}"/>
    <cellStyle name="Normal 31 3" xfId="10670" xr:uid="{00000000-0005-0000-0000-00005A230000}"/>
    <cellStyle name="Normal 31 3 2" xfId="10671" xr:uid="{00000000-0005-0000-0000-00005B230000}"/>
    <cellStyle name="Normal 31 3 2 2" xfId="10672" xr:uid="{00000000-0005-0000-0000-00005C230000}"/>
    <cellStyle name="Normal 31 3 3" xfId="10673" xr:uid="{00000000-0005-0000-0000-00005D230000}"/>
    <cellStyle name="Normal 31 3 4" xfId="10674" xr:uid="{00000000-0005-0000-0000-00005E230000}"/>
    <cellStyle name="Normal 31 3 5" xfId="10675" xr:uid="{00000000-0005-0000-0000-00005F230000}"/>
    <cellStyle name="Normal 31 4" xfId="10676" xr:uid="{00000000-0005-0000-0000-000060230000}"/>
    <cellStyle name="Normal 31 4 2" xfId="10677" xr:uid="{00000000-0005-0000-0000-000061230000}"/>
    <cellStyle name="Normal 31 5" xfId="10678" xr:uid="{00000000-0005-0000-0000-000062230000}"/>
    <cellStyle name="Normal 31 5 2" xfId="10679" xr:uid="{00000000-0005-0000-0000-000063230000}"/>
    <cellStyle name="Normal 31 6" xfId="10680" xr:uid="{00000000-0005-0000-0000-000064230000}"/>
    <cellStyle name="Normal 31 6 2" xfId="10681" xr:uid="{00000000-0005-0000-0000-000065230000}"/>
    <cellStyle name="Normal 31 7" xfId="10682" xr:uid="{00000000-0005-0000-0000-000066230000}"/>
    <cellStyle name="Normal 31 8" xfId="10683" xr:uid="{00000000-0005-0000-0000-000067230000}"/>
    <cellStyle name="Normal 31 9" xfId="10684" xr:uid="{00000000-0005-0000-0000-000068230000}"/>
    <cellStyle name="Normal 32" xfId="10685" xr:uid="{00000000-0005-0000-0000-000069230000}"/>
    <cellStyle name="Normal 32 10" xfId="10686" xr:uid="{00000000-0005-0000-0000-00006A230000}"/>
    <cellStyle name="Normal 32 11" xfId="10687" xr:uid="{00000000-0005-0000-0000-00006B230000}"/>
    <cellStyle name="Normal 32 12" xfId="10688" xr:uid="{00000000-0005-0000-0000-00006C230000}"/>
    <cellStyle name="Normal 32 2" xfId="10689" xr:uid="{00000000-0005-0000-0000-00006D230000}"/>
    <cellStyle name="Normal 32 2 2" xfId="10690" xr:uid="{00000000-0005-0000-0000-00006E230000}"/>
    <cellStyle name="Normal 32 2 2 2" xfId="10691" xr:uid="{00000000-0005-0000-0000-00006F230000}"/>
    <cellStyle name="Normal 32 2 2 3" xfId="10692" xr:uid="{00000000-0005-0000-0000-000070230000}"/>
    <cellStyle name="Normal 32 2 3" xfId="10693" xr:uid="{00000000-0005-0000-0000-000071230000}"/>
    <cellStyle name="Normal 32 2 3 2" xfId="10694" xr:uid="{00000000-0005-0000-0000-000072230000}"/>
    <cellStyle name="Normal 32 2 4" xfId="10695" xr:uid="{00000000-0005-0000-0000-000073230000}"/>
    <cellStyle name="Normal 32 2 5" xfId="10696" xr:uid="{00000000-0005-0000-0000-000074230000}"/>
    <cellStyle name="Normal 32 2 6" xfId="10697" xr:uid="{00000000-0005-0000-0000-000075230000}"/>
    <cellStyle name="Normal 32 2 7" xfId="10698" xr:uid="{00000000-0005-0000-0000-000076230000}"/>
    <cellStyle name="Normal 32 2 8" xfId="10699" xr:uid="{00000000-0005-0000-0000-000077230000}"/>
    <cellStyle name="Normal 32 3" xfId="10700" xr:uid="{00000000-0005-0000-0000-000078230000}"/>
    <cellStyle name="Normal 32 3 2" xfId="10701" xr:uid="{00000000-0005-0000-0000-000079230000}"/>
    <cellStyle name="Normal 32 3 2 2" xfId="10702" xr:uid="{00000000-0005-0000-0000-00007A230000}"/>
    <cellStyle name="Normal 32 3 3" xfId="10703" xr:uid="{00000000-0005-0000-0000-00007B230000}"/>
    <cellStyle name="Normal 32 3 4" xfId="10704" xr:uid="{00000000-0005-0000-0000-00007C230000}"/>
    <cellStyle name="Normal 32 3 5" xfId="10705" xr:uid="{00000000-0005-0000-0000-00007D230000}"/>
    <cellStyle name="Normal 32 4" xfId="10706" xr:uid="{00000000-0005-0000-0000-00007E230000}"/>
    <cellStyle name="Normal 32 4 2" xfId="10707" xr:uid="{00000000-0005-0000-0000-00007F230000}"/>
    <cellStyle name="Normal 32 5" xfId="10708" xr:uid="{00000000-0005-0000-0000-000080230000}"/>
    <cellStyle name="Normal 32 5 2" xfId="10709" xr:uid="{00000000-0005-0000-0000-000081230000}"/>
    <cellStyle name="Normal 32 6" xfId="10710" xr:uid="{00000000-0005-0000-0000-000082230000}"/>
    <cellStyle name="Normal 32 6 2" xfId="10711" xr:uid="{00000000-0005-0000-0000-000083230000}"/>
    <cellStyle name="Normal 32 7" xfId="10712" xr:uid="{00000000-0005-0000-0000-000084230000}"/>
    <cellStyle name="Normal 32 8" xfId="10713" xr:uid="{00000000-0005-0000-0000-000085230000}"/>
    <cellStyle name="Normal 32 9" xfId="10714" xr:uid="{00000000-0005-0000-0000-000086230000}"/>
    <cellStyle name="Normal 33" xfId="10715" xr:uid="{00000000-0005-0000-0000-000087230000}"/>
    <cellStyle name="Normal 33 10" xfId="10716" xr:uid="{00000000-0005-0000-0000-000088230000}"/>
    <cellStyle name="Normal 33 11" xfId="10717" xr:uid="{00000000-0005-0000-0000-000089230000}"/>
    <cellStyle name="Normal 33 2" xfId="10718" xr:uid="{00000000-0005-0000-0000-00008A230000}"/>
    <cellStyle name="Normal 33 2 2" xfId="10719" xr:uid="{00000000-0005-0000-0000-00008B230000}"/>
    <cellStyle name="Normal 33 2 2 2" xfId="10720" xr:uid="{00000000-0005-0000-0000-00008C230000}"/>
    <cellStyle name="Normal 33 2 2 3" xfId="10721" xr:uid="{00000000-0005-0000-0000-00008D230000}"/>
    <cellStyle name="Normal 33 2 3" xfId="10722" xr:uid="{00000000-0005-0000-0000-00008E230000}"/>
    <cellStyle name="Normal 33 2 3 2" xfId="10723" xr:uid="{00000000-0005-0000-0000-00008F230000}"/>
    <cellStyle name="Normal 33 2 4" xfId="10724" xr:uid="{00000000-0005-0000-0000-000090230000}"/>
    <cellStyle name="Normal 33 2 5" xfId="10725" xr:uid="{00000000-0005-0000-0000-000091230000}"/>
    <cellStyle name="Normal 33 2 6" xfId="10726" xr:uid="{00000000-0005-0000-0000-000092230000}"/>
    <cellStyle name="Normal 33 2 7" xfId="10727" xr:uid="{00000000-0005-0000-0000-000093230000}"/>
    <cellStyle name="Normal 33 2 8" xfId="10728" xr:uid="{00000000-0005-0000-0000-000094230000}"/>
    <cellStyle name="Normal 33 3" xfId="10729" xr:uid="{00000000-0005-0000-0000-000095230000}"/>
    <cellStyle name="Normal 33 3 2" xfId="10730" xr:uid="{00000000-0005-0000-0000-000096230000}"/>
    <cellStyle name="Normal 33 3 3" xfId="10731" xr:uid="{00000000-0005-0000-0000-000097230000}"/>
    <cellStyle name="Normal 33 4" xfId="10732" xr:uid="{00000000-0005-0000-0000-000098230000}"/>
    <cellStyle name="Normal 33 4 2" xfId="10733" xr:uid="{00000000-0005-0000-0000-000099230000}"/>
    <cellStyle name="Normal 33 5" xfId="10734" xr:uid="{00000000-0005-0000-0000-00009A230000}"/>
    <cellStyle name="Normal 33 5 2" xfId="10735" xr:uid="{00000000-0005-0000-0000-00009B230000}"/>
    <cellStyle name="Normal 33 6" xfId="10736" xr:uid="{00000000-0005-0000-0000-00009C230000}"/>
    <cellStyle name="Normal 33 7" xfId="10737" xr:uid="{00000000-0005-0000-0000-00009D230000}"/>
    <cellStyle name="Normal 33 8" xfId="10738" xr:uid="{00000000-0005-0000-0000-00009E230000}"/>
    <cellStyle name="Normal 33 9" xfId="10739" xr:uid="{00000000-0005-0000-0000-00009F230000}"/>
    <cellStyle name="Normal 34" xfId="10740" xr:uid="{00000000-0005-0000-0000-0000A0230000}"/>
    <cellStyle name="Normal 34 2" xfId="10741" xr:uid="{00000000-0005-0000-0000-0000A1230000}"/>
    <cellStyle name="Normal 34 2 2" xfId="10742" xr:uid="{00000000-0005-0000-0000-0000A2230000}"/>
    <cellStyle name="Normal 34 2 2 2" xfId="10743" xr:uid="{00000000-0005-0000-0000-0000A3230000}"/>
    <cellStyle name="Normal 34 2 3" xfId="10744" xr:uid="{00000000-0005-0000-0000-0000A4230000}"/>
    <cellStyle name="Normal 34 2 4" xfId="10745" xr:uid="{00000000-0005-0000-0000-0000A5230000}"/>
    <cellStyle name="Normal 34 2 5" xfId="10746" xr:uid="{00000000-0005-0000-0000-0000A6230000}"/>
    <cellStyle name="Normal 34 2 6" xfId="10747" xr:uid="{00000000-0005-0000-0000-0000A7230000}"/>
    <cellStyle name="Normal 34 3" xfId="10748" xr:uid="{00000000-0005-0000-0000-0000A8230000}"/>
    <cellStyle name="Normal 34 3 2" xfId="10749" xr:uid="{00000000-0005-0000-0000-0000A9230000}"/>
    <cellStyle name="Normal 34 4" xfId="10750" xr:uid="{00000000-0005-0000-0000-0000AA230000}"/>
    <cellStyle name="Normal 34 5" xfId="10751" xr:uid="{00000000-0005-0000-0000-0000AB230000}"/>
    <cellStyle name="Normal 35" xfId="10752" xr:uid="{00000000-0005-0000-0000-0000AC230000}"/>
    <cellStyle name="Normal 35 2" xfId="10753" xr:uid="{00000000-0005-0000-0000-0000AD230000}"/>
    <cellStyle name="Normal 35 2 2" xfId="10754" xr:uid="{00000000-0005-0000-0000-0000AE230000}"/>
    <cellStyle name="Normal 35 2 2 2" xfId="10755" xr:uid="{00000000-0005-0000-0000-0000AF230000}"/>
    <cellStyle name="Normal 35 2 3" xfId="10756" xr:uid="{00000000-0005-0000-0000-0000B0230000}"/>
    <cellStyle name="Normal 35 2 4" xfId="10757" xr:uid="{00000000-0005-0000-0000-0000B1230000}"/>
    <cellStyle name="Normal 35 2 5" xfId="10758" xr:uid="{00000000-0005-0000-0000-0000B2230000}"/>
    <cellStyle name="Normal 35 2 6" xfId="10759" xr:uid="{00000000-0005-0000-0000-0000B3230000}"/>
    <cellStyle name="Normal 35 2 7" xfId="10760" xr:uid="{00000000-0005-0000-0000-0000B4230000}"/>
    <cellStyle name="Normal 35 3" xfId="10761" xr:uid="{00000000-0005-0000-0000-0000B5230000}"/>
    <cellStyle name="Normal 35 3 2" xfId="10762" xr:uid="{00000000-0005-0000-0000-0000B6230000}"/>
    <cellStyle name="Normal 35 4" xfId="10763" xr:uid="{00000000-0005-0000-0000-0000B7230000}"/>
    <cellStyle name="Normal 35 5" xfId="10764" xr:uid="{00000000-0005-0000-0000-0000B8230000}"/>
    <cellStyle name="Normal 36" xfId="10765" xr:uid="{00000000-0005-0000-0000-0000B9230000}"/>
    <cellStyle name="Normal 36 2" xfId="10766" xr:uid="{00000000-0005-0000-0000-0000BA230000}"/>
    <cellStyle name="Normal 36 2 2" xfId="10767" xr:uid="{00000000-0005-0000-0000-0000BB230000}"/>
    <cellStyle name="Normal 36 2 2 2" xfId="10768" xr:uid="{00000000-0005-0000-0000-0000BC230000}"/>
    <cellStyle name="Normal 36 2 3" xfId="10769" xr:uid="{00000000-0005-0000-0000-0000BD230000}"/>
    <cellStyle name="Normal 36 2 4" xfId="10770" xr:uid="{00000000-0005-0000-0000-0000BE230000}"/>
    <cellStyle name="Normal 36 2 5" xfId="10771" xr:uid="{00000000-0005-0000-0000-0000BF230000}"/>
    <cellStyle name="Normal 36 2 6" xfId="10772" xr:uid="{00000000-0005-0000-0000-0000C0230000}"/>
    <cellStyle name="Normal 36 2 7" xfId="10773" xr:uid="{00000000-0005-0000-0000-0000C1230000}"/>
    <cellStyle name="Normal 36 3" xfId="10774" xr:uid="{00000000-0005-0000-0000-0000C2230000}"/>
    <cellStyle name="Normal 36 3 2" xfId="10775" xr:uid="{00000000-0005-0000-0000-0000C3230000}"/>
    <cellStyle name="Normal 36 4" xfId="10776" xr:uid="{00000000-0005-0000-0000-0000C4230000}"/>
    <cellStyle name="Normal 36 5" xfId="10777" xr:uid="{00000000-0005-0000-0000-0000C5230000}"/>
    <cellStyle name="Normal 37" xfId="10778" xr:uid="{00000000-0005-0000-0000-0000C6230000}"/>
    <cellStyle name="Normal 37 2" xfId="10779" xr:uid="{00000000-0005-0000-0000-0000C7230000}"/>
    <cellStyle name="Normal 37 2 2" xfId="10780" xr:uid="{00000000-0005-0000-0000-0000C8230000}"/>
    <cellStyle name="Normal 37 2 2 2" xfId="10781" xr:uid="{00000000-0005-0000-0000-0000C9230000}"/>
    <cellStyle name="Normal 37 2 3" xfId="10782" xr:uid="{00000000-0005-0000-0000-0000CA230000}"/>
    <cellStyle name="Normal 37 2 4" xfId="10783" xr:uid="{00000000-0005-0000-0000-0000CB230000}"/>
    <cellStyle name="Normal 37 2 5" xfId="10784" xr:uid="{00000000-0005-0000-0000-0000CC230000}"/>
    <cellStyle name="Normal 37 2 6" xfId="10785" xr:uid="{00000000-0005-0000-0000-0000CD230000}"/>
    <cellStyle name="Normal 37 3" xfId="10786" xr:uid="{00000000-0005-0000-0000-0000CE230000}"/>
    <cellStyle name="Normal 37 3 2" xfId="10787" xr:uid="{00000000-0005-0000-0000-0000CF230000}"/>
    <cellStyle name="Normal 37 4" xfId="10788" xr:uid="{00000000-0005-0000-0000-0000D0230000}"/>
    <cellStyle name="Normal 37 5" xfId="10789" xr:uid="{00000000-0005-0000-0000-0000D1230000}"/>
    <cellStyle name="Normal 38" xfId="10790" xr:uid="{00000000-0005-0000-0000-0000D2230000}"/>
    <cellStyle name="Normal 38 2" xfId="10791" xr:uid="{00000000-0005-0000-0000-0000D3230000}"/>
    <cellStyle name="Normal 38 2 2" xfId="10792" xr:uid="{00000000-0005-0000-0000-0000D4230000}"/>
    <cellStyle name="Normal 38 2 2 2" xfId="10793" xr:uid="{00000000-0005-0000-0000-0000D5230000}"/>
    <cellStyle name="Normal 38 2 3" xfId="10794" xr:uid="{00000000-0005-0000-0000-0000D6230000}"/>
    <cellStyle name="Normal 38 2 4" xfId="10795" xr:uid="{00000000-0005-0000-0000-0000D7230000}"/>
    <cellStyle name="Normal 38 2 5" xfId="10796" xr:uid="{00000000-0005-0000-0000-0000D8230000}"/>
    <cellStyle name="Normal 38 2 6" xfId="10797" xr:uid="{00000000-0005-0000-0000-0000D9230000}"/>
    <cellStyle name="Normal 38 3" xfId="10798" xr:uid="{00000000-0005-0000-0000-0000DA230000}"/>
    <cellStyle name="Normal 38 3 2" xfId="10799" xr:uid="{00000000-0005-0000-0000-0000DB230000}"/>
    <cellStyle name="Normal 38 4" xfId="10800" xr:uid="{00000000-0005-0000-0000-0000DC230000}"/>
    <cellStyle name="Normal 38 5" xfId="10801" xr:uid="{00000000-0005-0000-0000-0000DD230000}"/>
    <cellStyle name="Normal 39" xfId="10802" xr:uid="{00000000-0005-0000-0000-0000DE230000}"/>
    <cellStyle name="Normal 39 2" xfId="10803" xr:uid="{00000000-0005-0000-0000-0000DF230000}"/>
    <cellStyle name="Normal 39 2 2" xfId="10804" xr:uid="{00000000-0005-0000-0000-0000E0230000}"/>
    <cellStyle name="Normal 39 2 2 2" xfId="10805" xr:uid="{00000000-0005-0000-0000-0000E1230000}"/>
    <cellStyle name="Normal 39 2 3" xfId="10806" xr:uid="{00000000-0005-0000-0000-0000E2230000}"/>
    <cellStyle name="Normal 39 2 4" xfId="10807" xr:uid="{00000000-0005-0000-0000-0000E3230000}"/>
    <cellStyle name="Normal 39 2 5" xfId="10808" xr:uid="{00000000-0005-0000-0000-0000E4230000}"/>
    <cellStyle name="Normal 39 2 6" xfId="10809" xr:uid="{00000000-0005-0000-0000-0000E5230000}"/>
    <cellStyle name="Normal 39 3" xfId="10810" xr:uid="{00000000-0005-0000-0000-0000E6230000}"/>
    <cellStyle name="Normal 39 3 2" xfId="10811" xr:uid="{00000000-0005-0000-0000-0000E7230000}"/>
    <cellStyle name="Normal 39 4" xfId="10812" xr:uid="{00000000-0005-0000-0000-0000E8230000}"/>
    <cellStyle name="Normal 39 5" xfId="10813" xr:uid="{00000000-0005-0000-0000-0000E9230000}"/>
    <cellStyle name="Normal 39 6" xfId="10814" xr:uid="{00000000-0005-0000-0000-0000EA230000}"/>
    <cellStyle name="Normal 4" xfId="14" xr:uid="{00000000-0005-0000-0000-0000EB230000}"/>
    <cellStyle name="Normal 4 10" xfId="10815" xr:uid="{00000000-0005-0000-0000-0000EC230000}"/>
    <cellStyle name="Normal 4 10 2" xfId="10816" xr:uid="{00000000-0005-0000-0000-0000ED230000}"/>
    <cellStyle name="Normal 4 10 2 2" xfId="10817" xr:uid="{00000000-0005-0000-0000-0000EE230000}"/>
    <cellStyle name="Normal 4 10 3" xfId="10818" xr:uid="{00000000-0005-0000-0000-0000EF230000}"/>
    <cellStyle name="Normal 4 10 4" xfId="10819" xr:uid="{00000000-0005-0000-0000-0000F0230000}"/>
    <cellStyle name="Normal 4 10 5" xfId="10820" xr:uid="{00000000-0005-0000-0000-0000F1230000}"/>
    <cellStyle name="Normal 4 10 6" xfId="10821" xr:uid="{00000000-0005-0000-0000-0000F2230000}"/>
    <cellStyle name="Normal 4 11" xfId="10822" xr:uid="{00000000-0005-0000-0000-0000F3230000}"/>
    <cellStyle name="Normal 4 11 2" xfId="10823" xr:uid="{00000000-0005-0000-0000-0000F4230000}"/>
    <cellStyle name="Normal 4 11 3" xfId="10824" xr:uid="{00000000-0005-0000-0000-0000F5230000}"/>
    <cellStyle name="Normal 4 11 4" xfId="10825" xr:uid="{00000000-0005-0000-0000-0000F6230000}"/>
    <cellStyle name="Normal 4 11 5" xfId="10826" xr:uid="{00000000-0005-0000-0000-0000F7230000}"/>
    <cellStyle name="Normal 4 12" xfId="10827" xr:uid="{00000000-0005-0000-0000-0000F8230000}"/>
    <cellStyle name="Normal 4 12 2" xfId="10828" xr:uid="{00000000-0005-0000-0000-0000F9230000}"/>
    <cellStyle name="Normal 4 12 2 2" xfId="10829" xr:uid="{00000000-0005-0000-0000-0000FA230000}"/>
    <cellStyle name="Normal 4 12 2 3" xfId="10830" xr:uid="{00000000-0005-0000-0000-0000FB230000}"/>
    <cellStyle name="Normal 4 12 3" xfId="10831" xr:uid="{00000000-0005-0000-0000-0000FC230000}"/>
    <cellStyle name="Normal 4 12 4" xfId="10832" xr:uid="{00000000-0005-0000-0000-0000FD230000}"/>
    <cellStyle name="Normal 4 12 5" xfId="10833" xr:uid="{00000000-0005-0000-0000-0000FE230000}"/>
    <cellStyle name="Normal 4 12 6" xfId="10834" xr:uid="{00000000-0005-0000-0000-0000FF230000}"/>
    <cellStyle name="Normal 4 12 7" xfId="10835" xr:uid="{00000000-0005-0000-0000-000000240000}"/>
    <cellStyle name="Normal 4 12 8" xfId="10836" xr:uid="{00000000-0005-0000-0000-000001240000}"/>
    <cellStyle name="Normal 4 13" xfId="10837" xr:uid="{00000000-0005-0000-0000-000002240000}"/>
    <cellStyle name="Normal 4 13 2" xfId="10838" xr:uid="{00000000-0005-0000-0000-000003240000}"/>
    <cellStyle name="Normal 4 13 2 2" xfId="10839" xr:uid="{00000000-0005-0000-0000-000004240000}"/>
    <cellStyle name="Normal 4 13 3" xfId="10840" xr:uid="{00000000-0005-0000-0000-000005240000}"/>
    <cellStyle name="Normal 4 13 4" xfId="10841" xr:uid="{00000000-0005-0000-0000-000006240000}"/>
    <cellStyle name="Normal 4 14" xfId="10842" xr:uid="{00000000-0005-0000-0000-000007240000}"/>
    <cellStyle name="Normal 4 14 2" xfId="10843" xr:uid="{00000000-0005-0000-0000-000008240000}"/>
    <cellStyle name="Normal 4 15" xfId="10844" xr:uid="{00000000-0005-0000-0000-000009240000}"/>
    <cellStyle name="Normal 4 15 2" xfId="10845" xr:uid="{00000000-0005-0000-0000-00000A240000}"/>
    <cellStyle name="Normal 4 16" xfId="10846" xr:uid="{00000000-0005-0000-0000-00000B240000}"/>
    <cellStyle name="Normal 4 16 2" xfId="10847" xr:uid="{00000000-0005-0000-0000-00000C240000}"/>
    <cellStyle name="Normal 4 17" xfId="10848" xr:uid="{00000000-0005-0000-0000-00000D240000}"/>
    <cellStyle name="Normal 4 18" xfId="10849" xr:uid="{00000000-0005-0000-0000-00000E240000}"/>
    <cellStyle name="Normal 4 19" xfId="1452" xr:uid="{00000000-0005-0000-0000-00000F240000}"/>
    <cellStyle name="Normal 4 2" xfId="27" xr:uid="{00000000-0005-0000-0000-000010240000}"/>
    <cellStyle name="Normal 4 2 10" xfId="10850" xr:uid="{00000000-0005-0000-0000-000011240000}"/>
    <cellStyle name="Normal 4 2 11" xfId="10851" xr:uid="{00000000-0005-0000-0000-000012240000}"/>
    <cellStyle name="Normal 4 2 12" xfId="10852" xr:uid="{00000000-0005-0000-0000-000013240000}"/>
    <cellStyle name="Normal 4 2 13" xfId="10853" xr:uid="{00000000-0005-0000-0000-000014240000}"/>
    <cellStyle name="Normal 4 2 14" xfId="10854" xr:uid="{00000000-0005-0000-0000-000015240000}"/>
    <cellStyle name="Normal 4 2 15" xfId="10855" xr:uid="{00000000-0005-0000-0000-000016240000}"/>
    <cellStyle name="Normal 4 2 16" xfId="1453" xr:uid="{00000000-0005-0000-0000-000017240000}"/>
    <cellStyle name="Normal 4 2 2" xfId="1454" xr:uid="{00000000-0005-0000-0000-000018240000}"/>
    <cellStyle name="Normal 4 2 2 10" xfId="10856" xr:uid="{00000000-0005-0000-0000-000019240000}"/>
    <cellStyle name="Normal 4 2 2 11" xfId="10857" xr:uid="{00000000-0005-0000-0000-00001A240000}"/>
    <cellStyle name="Normal 4 2 2 12" xfId="10858" xr:uid="{00000000-0005-0000-0000-00001B240000}"/>
    <cellStyle name="Normal 4 2 2 13" xfId="10859" xr:uid="{00000000-0005-0000-0000-00001C240000}"/>
    <cellStyle name="Normal 4 2 2 14" xfId="10860" xr:uid="{00000000-0005-0000-0000-00001D240000}"/>
    <cellStyle name="Normal 4 2 2 2" xfId="1455" xr:uid="{00000000-0005-0000-0000-00001E240000}"/>
    <cellStyle name="Normal 4 2 2 2 10" xfId="10861" xr:uid="{00000000-0005-0000-0000-00001F240000}"/>
    <cellStyle name="Normal 4 2 2 2 11" xfId="10862" xr:uid="{00000000-0005-0000-0000-000020240000}"/>
    <cellStyle name="Normal 4 2 2 2 12" xfId="10863" xr:uid="{00000000-0005-0000-0000-000021240000}"/>
    <cellStyle name="Normal 4 2 2 2 13" xfId="10864" xr:uid="{00000000-0005-0000-0000-000022240000}"/>
    <cellStyle name="Normal 4 2 2 2 2" xfId="1456" xr:uid="{00000000-0005-0000-0000-000023240000}"/>
    <cellStyle name="Normal 4 2 2 2 2 10" xfId="10865" xr:uid="{00000000-0005-0000-0000-000024240000}"/>
    <cellStyle name="Normal 4 2 2 2 2 11" xfId="10866" xr:uid="{00000000-0005-0000-0000-000025240000}"/>
    <cellStyle name="Normal 4 2 2 2 2 12" xfId="10867" xr:uid="{00000000-0005-0000-0000-000026240000}"/>
    <cellStyle name="Normal 4 2 2 2 2 2" xfId="1457" xr:uid="{00000000-0005-0000-0000-000027240000}"/>
    <cellStyle name="Normal 4 2 2 2 2 2 2" xfId="1458" xr:uid="{00000000-0005-0000-0000-000028240000}"/>
    <cellStyle name="Normal 4 2 2 2 2 2 2 2" xfId="1459" xr:uid="{00000000-0005-0000-0000-000029240000}"/>
    <cellStyle name="Normal 4 2 2 2 2 2 2 2 2" xfId="1460" xr:uid="{00000000-0005-0000-0000-00002A240000}"/>
    <cellStyle name="Normal 4 2 2 2 2 2 2 3" xfId="1461" xr:uid="{00000000-0005-0000-0000-00002B240000}"/>
    <cellStyle name="Normal 4 2 2 2 2 2 3" xfId="1462" xr:uid="{00000000-0005-0000-0000-00002C240000}"/>
    <cellStyle name="Normal 4 2 2 2 2 2 3 2" xfId="1463" xr:uid="{00000000-0005-0000-0000-00002D240000}"/>
    <cellStyle name="Normal 4 2 2 2 2 2 4" xfId="1464" xr:uid="{00000000-0005-0000-0000-00002E240000}"/>
    <cellStyle name="Normal 4 2 2 2 2 2 5" xfId="10868" xr:uid="{00000000-0005-0000-0000-00002F240000}"/>
    <cellStyle name="Normal 4 2 2 2 2 2 6" xfId="10869" xr:uid="{00000000-0005-0000-0000-000030240000}"/>
    <cellStyle name="Normal 4 2 2 2 2 2 7" xfId="10870" xr:uid="{00000000-0005-0000-0000-000031240000}"/>
    <cellStyle name="Normal 4 2 2 2 2 2 8" xfId="10871" xr:uid="{00000000-0005-0000-0000-000032240000}"/>
    <cellStyle name="Normal 4 2 2 2 2 2 9" xfId="10872" xr:uid="{00000000-0005-0000-0000-000033240000}"/>
    <cellStyle name="Normal 4 2 2 2 2 3" xfId="1465" xr:uid="{00000000-0005-0000-0000-000034240000}"/>
    <cellStyle name="Normal 4 2 2 2 2 3 2" xfId="1466" xr:uid="{00000000-0005-0000-0000-000035240000}"/>
    <cellStyle name="Normal 4 2 2 2 2 3 2 2" xfId="1467" xr:uid="{00000000-0005-0000-0000-000036240000}"/>
    <cellStyle name="Normal 4 2 2 2 2 3 3" xfId="1468" xr:uid="{00000000-0005-0000-0000-000037240000}"/>
    <cellStyle name="Normal 4 2 2 2 2 3 4" xfId="10873" xr:uid="{00000000-0005-0000-0000-000038240000}"/>
    <cellStyle name="Normal 4 2 2 2 2 4" xfId="1469" xr:uid="{00000000-0005-0000-0000-000039240000}"/>
    <cellStyle name="Normal 4 2 2 2 2 4 2" xfId="1470" xr:uid="{00000000-0005-0000-0000-00003A240000}"/>
    <cellStyle name="Normal 4 2 2 2 2 5" xfId="1471" xr:uid="{00000000-0005-0000-0000-00003B240000}"/>
    <cellStyle name="Normal 4 2 2 2 2 5 2" xfId="10874" xr:uid="{00000000-0005-0000-0000-00003C240000}"/>
    <cellStyle name="Normal 4 2 2 2 2 6" xfId="10875" xr:uid="{00000000-0005-0000-0000-00003D240000}"/>
    <cellStyle name="Normal 4 2 2 2 2 6 2" xfId="10876" xr:uid="{00000000-0005-0000-0000-00003E240000}"/>
    <cellStyle name="Normal 4 2 2 2 2 7" xfId="10877" xr:uid="{00000000-0005-0000-0000-00003F240000}"/>
    <cellStyle name="Normal 4 2 2 2 2 8" xfId="10878" xr:uid="{00000000-0005-0000-0000-000040240000}"/>
    <cellStyle name="Normal 4 2 2 2 2 9" xfId="10879" xr:uid="{00000000-0005-0000-0000-000041240000}"/>
    <cellStyle name="Normal 4 2 2 2 3" xfId="1472" xr:uid="{00000000-0005-0000-0000-000042240000}"/>
    <cellStyle name="Normal 4 2 2 2 3 2" xfId="1473" xr:uid="{00000000-0005-0000-0000-000043240000}"/>
    <cellStyle name="Normal 4 2 2 2 3 2 2" xfId="1474" xr:uid="{00000000-0005-0000-0000-000044240000}"/>
    <cellStyle name="Normal 4 2 2 2 3 2 2 2" xfId="1475" xr:uid="{00000000-0005-0000-0000-000045240000}"/>
    <cellStyle name="Normal 4 2 2 2 3 2 3" xfId="1476" xr:uid="{00000000-0005-0000-0000-000046240000}"/>
    <cellStyle name="Normal 4 2 2 2 3 3" xfId="1477" xr:uid="{00000000-0005-0000-0000-000047240000}"/>
    <cellStyle name="Normal 4 2 2 2 3 3 2" xfId="1478" xr:uid="{00000000-0005-0000-0000-000048240000}"/>
    <cellStyle name="Normal 4 2 2 2 3 4" xfId="1479" xr:uid="{00000000-0005-0000-0000-000049240000}"/>
    <cellStyle name="Normal 4 2 2 2 3 5" xfId="10880" xr:uid="{00000000-0005-0000-0000-00004A240000}"/>
    <cellStyle name="Normal 4 2 2 2 3 6" xfId="10881" xr:uid="{00000000-0005-0000-0000-00004B240000}"/>
    <cellStyle name="Normal 4 2 2 2 3 7" xfId="10882" xr:uid="{00000000-0005-0000-0000-00004C240000}"/>
    <cellStyle name="Normal 4 2 2 2 3 8" xfId="10883" xr:uid="{00000000-0005-0000-0000-00004D240000}"/>
    <cellStyle name="Normal 4 2 2 2 3 9" xfId="10884" xr:uid="{00000000-0005-0000-0000-00004E240000}"/>
    <cellStyle name="Normal 4 2 2 2 4" xfId="1480" xr:uid="{00000000-0005-0000-0000-00004F240000}"/>
    <cellStyle name="Normal 4 2 2 2 4 2" xfId="1481" xr:uid="{00000000-0005-0000-0000-000050240000}"/>
    <cellStyle name="Normal 4 2 2 2 4 2 2" xfId="1482" xr:uid="{00000000-0005-0000-0000-000051240000}"/>
    <cellStyle name="Normal 4 2 2 2 4 3" xfId="1483" xr:uid="{00000000-0005-0000-0000-000052240000}"/>
    <cellStyle name="Normal 4 2 2 2 4 4" xfId="10885" xr:uid="{00000000-0005-0000-0000-000053240000}"/>
    <cellStyle name="Normal 4 2 2 2 5" xfId="1484" xr:uid="{00000000-0005-0000-0000-000054240000}"/>
    <cellStyle name="Normal 4 2 2 2 5 2" xfId="1485" xr:uid="{00000000-0005-0000-0000-000055240000}"/>
    <cellStyle name="Normal 4 2 2 2 6" xfId="1486" xr:uid="{00000000-0005-0000-0000-000056240000}"/>
    <cellStyle name="Normal 4 2 2 2 6 2" xfId="10886" xr:uid="{00000000-0005-0000-0000-000057240000}"/>
    <cellStyle name="Normal 4 2 2 2 7" xfId="10887" xr:uid="{00000000-0005-0000-0000-000058240000}"/>
    <cellStyle name="Normal 4 2 2 2 7 2" xfId="10888" xr:uid="{00000000-0005-0000-0000-000059240000}"/>
    <cellStyle name="Normal 4 2 2 2 8" xfId="10889" xr:uid="{00000000-0005-0000-0000-00005A240000}"/>
    <cellStyle name="Normal 4 2 2 2 9" xfId="10890" xr:uid="{00000000-0005-0000-0000-00005B240000}"/>
    <cellStyle name="Normal 4 2 2 3" xfId="1487" xr:uid="{00000000-0005-0000-0000-00005C240000}"/>
    <cellStyle name="Normal 4 2 2 3 10" xfId="10891" xr:uid="{00000000-0005-0000-0000-00005D240000}"/>
    <cellStyle name="Normal 4 2 2 3 11" xfId="10892" xr:uid="{00000000-0005-0000-0000-00005E240000}"/>
    <cellStyle name="Normal 4 2 2 3 12" xfId="10893" xr:uid="{00000000-0005-0000-0000-00005F240000}"/>
    <cellStyle name="Normal 4 2 2 3 2" xfId="1488" xr:uid="{00000000-0005-0000-0000-000060240000}"/>
    <cellStyle name="Normal 4 2 2 3 2 2" xfId="1489" xr:uid="{00000000-0005-0000-0000-000061240000}"/>
    <cellStyle name="Normal 4 2 2 3 2 2 2" xfId="1490" xr:uid="{00000000-0005-0000-0000-000062240000}"/>
    <cellStyle name="Normal 4 2 2 3 2 2 2 2" xfId="1491" xr:uid="{00000000-0005-0000-0000-000063240000}"/>
    <cellStyle name="Normal 4 2 2 3 2 2 3" xfId="1492" xr:uid="{00000000-0005-0000-0000-000064240000}"/>
    <cellStyle name="Normal 4 2 2 3 2 3" xfId="1493" xr:uid="{00000000-0005-0000-0000-000065240000}"/>
    <cellStyle name="Normal 4 2 2 3 2 3 2" xfId="1494" xr:uid="{00000000-0005-0000-0000-000066240000}"/>
    <cellStyle name="Normal 4 2 2 3 2 4" xfId="1495" xr:uid="{00000000-0005-0000-0000-000067240000}"/>
    <cellStyle name="Normal 4 2 2 3 2 5" xfId="10894" xr:uid="{00000000-0005-0000-0000-000068240000}"/>
    <cellStyle name="Normal 4 2 2 3 2 6" xfId="10895" xr:uid="{00000000-0005-0000-0000-000069240000}"/>
    <cellStyle name="Normal 4 2 2 3 2 7" xfId="10896" xr:uid="{00000000-0005-0000-0000-00006A240000}"/>
    <cellStyle name="Normal 4 2 2 3 2 8" xfId="10897" xr:uid="{00000000-0005-0000-0000-00006B240000}"/>
    <cellStyle name="Normal 4 2 2 3 2 9" xfId="10898" xr:uid="{00000000-0005-0000-0000-00006C240000}"/>
    <cellStyle name="Normal 4 2 2 3 3" xfId="1496" xr:uid="{00000000-0005-0000-0000-00006D240000}"/>
    <cellStyle name="Normal 4 2 2 3 3 2" xfId="1497" xr:uid="{00000000-0005-0000-0000-00006E240000}"/>
    <cellStyle name="Normal 4 2 2 3 3 2 2" xfId="1498" xr:uid="{00000000-0005-0000-0000-00006F240000}"/>
    <cellStyle name="Normal 4 2 2 3 3 3" xfId="1499" xr:uid="{00000000-0005-0000-0000-000070240000}"/>
    <cellStyle name="Normal 4 2 2 3 3 4" xfId="10899" xr:uid="{00000000-0005-0000-0000-000071240000}"/>
    <cellStyle name="Normal 4 2 2 3 4" xfId="1500" xr:uid="{00000000-0005-0000-0000-000072240000}"/>
    <cellStyle name="Normal 4 2 2 3 4 2" xfId="1501" xr:uid="{00000000-0005-0000-0000-000073240000}"/>
    <cellStyle name="Normal 4 2 2 3 5" xfId="1502" xr:uid="{00000000-0005-0000-0000-000074240000}"/>
    <cellStyle name="Normal 4 2 2 3 5 2" xfId="10900" xr:uid="{00000000-0005-0000-0000-000075240000}"/>
    <cellStyle name="Normal 4 2 2 3 6" xfId="10901" xr:uid="{00000000-0005-0000-0000-000076240000}"/>
    <cellStyle name="Normal 4 2 2 3 6 2" xfId="10902" xr:uid="{00000000-0005-0000-0000-000077240000}"/>
    <cellStyle name="Normal 4 2 2 3 7" xfId="10903" xr:uid="{00000000-0005-0000-0000-000078240000}"/>
    <cellStyle name="Normal 4 2 2 3 8" xfId="10904" xr:uid="{00000000-0005-0000-0000-000079240000}"/>
    <cellStyle name="Normal 4 2 2 3 9" xfId="10905" xr:uid="{00000000-0005-0000-0000-00007A240000}"/>
    <cellStyle name="Normal 4 2 2 4" xfId="1503" xr:uid="{00000000-0005-0000-0000-00007B240000}"/>
    <cellStyle name="Normal 4 2 2 4 2" xfId="1504" xr:uid="{00000000-0005-0000-0000-00007C240000}"/>
    <cellStyle name="Normal 4 2 2 4 2 2" xfId="1505" xr:uid="{00000000-0005-0000-0000-00007D240000}"/>
    <cellStyle name="Normal 4 2 2 4 2 2 2" xfId="1506" xr:uid="{00000000-0005-0000-0000-00007E240000}"/>
    <cellStyle name="Normal 4 2 2 4 2 3" xfId="1507" xr:uid="{00000000-0005-0000-0000-00007F240000}"/>
    <cellStyle name="Normal 4 2 2 4 3" xfId="1508" xr:uid="{00000000-0005-0000-0000-000080240000}"/>
    <cellStyle name="Normal 4 2 2 4 3 2" xfId="1509" xr:uid="{00000000-0005-0000-0000-000081240000}"/>
    <cellStyle name="Normal 4 2 2 4 4" xfId="1510" xr:uid="{00000000-0005-0000-0000-000082240000}"/>
    <cellStyle name="Normal 4 2 2 4 5" xfId="10906" xr:uid="{00000000-0005-0000-0000-000083240000}"/>
    <cellStyle name="Normal 4 2 2 4 6" xfId="10907" xr:uid="{00000000-0005-0000-0000-000084240000}"/>
    <cellStyle name="Normal 4 2 2 4 7" xfId="10908" xr:uid="{00000000-0005-0000-0000-000085240000}"/>
    <cellStyle name="Normal 4 2 2 4 8" xfId="10909" xr:uid="{00000000-0005-0000-0000-000086240000}"/>
    <cellStyle name="Normal 4 2 2 4 9" xfId="10910" xr:uid="{00000000-0005-0000-0000-000087240000}"/>
    <cellStyle name="Normal 4 2 2 5" xfId="1511" xr:uid="{00000000-0005-0000-0000-000088240000}"/>
    <cellStyle name="Normal 4 2 2 5 2" xfId="1512" xr:uid="{00000000-0005-0000-0000-000089240000}"/>
    <cellStyle name="Normal 4 2 2 5 2 2" xfId="1513" xr:uid="{00000000-0005-0000-0000-00008A240000}"/>
    <cellStyle name="Normal 4 2 2 5 3" xfId="1514" xr:uid="{00000000-0005-0000-0000-00008B240000}"/>
    <cellStyle name="Normal 4 2 2 5 4" xfId="10911" xr:uid="{00000000-0005-0000-0000-00008C240000}"/>
    <cellStyle name="Normal 4 2 2 5 5" xfId="10912" xr:uid="{00000000-0005-0000-0000-00008D240000}"/>
    <cellStyle name="Normal 4 2 2 6" xfId="1515" xr:uid="{00000000-0005-0000-0000-00008E240000}"/>
    <cellStyle name="Normal 4 2 2 6 2" xfId="1516" xr:uid="{00000000-0005-0000-0000-00008F240000}"/>
    <cellStyle name="Normal 4 2 2 7" xfId="1517" xr:uid="{00000000-0005-0000-0000-000090240000}"/>
    <cellStyle name="Normal 4 2 2 7 2" xfId="10913" xr:uid="{00000000-0005-0000-0000-000091240000}"/>
    <cellStyle name="Normal 4 2 2 8" xfId="10914" xr:uid="{00000000-0005-0000-0000-000092240000}"/>
    <cellStyle name="Normal 4 2 2 8 2" xfId="10915" xr:uid="{00000000-0005-0000-0000-000093240000}"/>
    <cellStyle name="Normal 4 2 2 9" xfId="10916" xr:uid="{00000000-0005-0000-0000-000094240000}"/>
    <cellStyle name="Normal 4 2 3" xfId="1518" xr:uid="{00000000-0005-0000-0000-000095240000}"/>
    <cellStyle name="Normal 4 2 3 10" xfId="10917" xr:uid="{00000000-0005-0000-0000-000096240000}"/>
    <cellStyle name="Normal 4 2 3 11" xfId="10918" xr:uid="{00000000-0005-0000-0000-000097240000}"/>
    <cellStyle name="Normal 4 2 3 12" xfId="10919" xr:uid="{00000000-0005-0000-0000-000098240000}"/>
    <cellStyle name="Normal 4 2 3 13" xfId="10920" xr:uid="{00000000-0005-0000-0000-000099240000}"/>
    <cellStyle name="Normal 4 2 3 2" xfId="1519" xr:uid="{00000000-0005-0000-0000-00009A240000}"/>
    <cellStyle name="Normal 4 2 3 2 10" xfId="10921" xr:uid="{00000000-0005-0000-0000-00009B240000}"/>
    <cellStyle name="Normal 4 2 3 2 11" xfId="10922" xr:uid="{00000000-0005-0000-0000-00009C240000}"/>
    <cellStyle name="Normal 4 2 3 2 12" xfId="10923" xr:uid="{00000000-0005-0000-0000-00009D240000}"/>
    <cellStyle name="Normal 4 2 3 2 2" xfId="1520" xr:uid="{00000000-0005-0000-0000-00009E240000}"/>
    <cellStyle name="Normal 4 2 3 2 2 2" xfId="1521" xr:uid="{00000000-0005-0000-0000-00009F240000}"/>
    <cellStyle name="Normal 4 2 3 2 2 2 2" xfId="1522" xr:uid="{00000000-0005-0000-0000-0000A0240000}"/>
    <cellStyle name="Normal 4 2 3 2 2 2 2 2" xfId="1523" xr:uid="{00000000-0005-0000-0000-0000A1240000}"/>
    <cellStyle name="Normal 4 2 3 2 2 2 3" xfId="1524" xr:uid="{00000000-0005-0000-0000-0000A2240000}"/>
    <cellStyle name="Normal 4 2 3 2 2 3" xfId="1525" xr:uid="{00000000-0005-0000-0000-0000A3240000}"/>
    <cellStyle name="Normal 4 2 3 2 2 3 2" xfId="1526" xr:uid="{00000000-0005-0000-0000-0000A4240000}"/>
    <cellStyle name="Normal 4 2 3 2 2 4" xfId="1527" xr:uid="{00000000-0005-0000-0000-0000A5240000}"/>
    <cellStyle name="Normal 4 2 3 2 2 5" xfId="10924" xr:uid="{00000000-0005-0000-0000-0000A6240000}"/>
    <cellStyle name="Normal 4 2 3 2 2 6" xfId="10925" xr:uid="{00000000-0005-0000-0000-0000A7240000}"/>
    <cellStyle name="Normal 4 2 3 2 2 7" xfId="10926" xr:uid="{00000000-0005-0000-0000-0000A8240000}"/>
    <cellStyle name="Normal 4 2 3 2 2 8" xfId="10927" xr:uid="{00000000-0005-0000-0000-0000A9240000}"/>
    <cellStyle name="Normal 4 2 3 2 2 9" xfId="10928" xr:uid="{00000000-0005-0000-0000-0000AA240000}"/>
    <cellStyle name="Normal 4 2 3 2 3" xfId="1528" xr:uid="{00000000-0005-0000-0000-0000AB240000}"/>
    <cellStyle name="Normal 4 2 3 2 3 2" xfId="1529" xr:uid="{00000000-0005-0000-0000-0000AC240000}"/>
    <cellStyle name="Normal 4 2 3 2 3 2 2" xfId="1530" xr:uid="{00000000-0005-0000-0000-0000AD240000}"/>
    <cellStyle name="Normal 4 2 3 2 3 3" xfId="1531" xr:uid="{00000000-0005-0000-0000-0000AE240000}"/>
    <cellStyle name="Normal 4 2 3 2 3 4" xfId="10929" xr:uid="{00000000-0005-0000-0000-0000AF240000}"/>
    <cellStyle name="Normal 4 2 3 2 4" xfId="1532" xr:uid="{00000000-0005-0000-0000-0000B0240000}"/>
    <cellStyle name="Normal 4 2 3 2 4 2" xfId="1533" xr:uid="{00000000-0005-0000-0000-0000B1240000}"/>
    <cellStyle name="Normal 4 2 3 2 5" xfId="1534" xr:uid="{00000000-0005-0000-0000-0000B2240000}"/>
    <cellStyle name="Normal 4 2 3 2 5 2" xfId="10930" xr:uid="{00000000-0005-0000-0000-0000B3240000}"/>
    <cellStyle name="Normal 4 2 3 2 6" xfId="10931" xr:uid="{00000000-0005-0000-0000-0000B4240000}"/>
    <cellStyle name="Normal 4 2 3 2 6 2" xfId="10932" xr:uid="{00000000-0005-0000-0000-0000B5240000}"/>
    <cellStyle name="Normal 4 2 3 2 7" xfId="10933" xr:uid="{00000000-0005-0000-0000-0000B6240000}"/>
    <cellStyle name="Normal 4 2 3 2 8" xfId="10934" xr:uid="{00000000-0005-0000-0000-0000B7240000}"/>
    <cellStyle name="Normal 4 2 3 2 9" xfId="10935" xr:uid="{00000000-0005-0000-0000-0000B8240000}"/>
    <cellStyle name="Normal 4 2 3 3" xfId="1535" xr:uid="{00000000-0005-0000-0000-0000B9240000}"/>
    <cellStyle name="Normal 4 2 3 3 2" xfId="1536" xr:uid="{00000000-0005-0000-0000-0000BA240000}"/>
    <cellStyle name="Normal 4 2 3 3 2 2" xfId="1537" xr:uid="{00000000-0005-0000-0000-0000BB240000}"/>
    <cellStyle name="Normal 4 2 3 3 2 2 2" xfId="1538" xr:uid="{00000000-0005-0000-0000-0000BC240000}"/>
    <cellStyle name="Normal 4 2 3 3 2 3" xfId="1539" xr:uid="{00000000-0005-0000-0000-0000BD240000}"/>
    <cellStyle name="Normal 4 2 3 3 3" xfId="1540" xr:uid="{00000000-0005-0000-0000-0000BE240000}"/>
    <cellStyle name="Normal 4 2 3 3 3 2" xfId="1541" xr:uid="{00000000-0005-0000-0000-0000BF240000}"/>
    <cellStyle name="Normal 4 2 3 3 4" xfId="1542" xr:uid="{00000000-0005-0000-0000-0000C0240000}"/>
    <cellStyle name="Normal 4 2 3 3 5" xfId="10936" xr:uid="{00000000-0005-0000-0000-0000C1240000}"/>
    <cellStyle name="Normal 4 2 3 3 6" xfId="10937" xr:uid="{00000000-0005-0000-0000-0000C2240000}"/>
    <cellStyle name="Normal 4 2 3 3 7" xfId="10938" xr:uid="{00000000-0005-0000-0000-0000C3240000}"/>
    <cellStyle name="Normal 4 2 3 3 8" xfId="10939" xr:uid="{00000000-0005-0000-0000-0000C4240000}"/>
    <cellStyle name="Normal 4 2 3 3 9" xfId="10940" xr:uid="{00000000-0005-0000-0000-0000C5240000}"/>
    <cellStyle name="Normal 4 2 3 4" xfId="1543" xr:uid="{00000000-0005-0000-0000-0000C6240000}"/>
    <cellStyle name="Normal 4 2 3 4 2" xfId="1544" xr:uid="{00000000-0005-0000-0000-0000C7240000}"/>
    <cellStyle name="Normal 4 2 3 4 2 2" xfId="1545" xr:uid="{00000000-0005-0000-0000-0000C8240000}"/>
    <cellStyle name="Normal 4 2 3 4 3" xfId="1546" xr:uid="{00000000-0005-0000-0000-0000C9240000}"/>
    <cellStyle name="Normal 4 2 3 4 4" xfId="10941" xr:uid="{00000000-0005-0000-0000-0000CA240000}"/>
    <cellStyle name="Normal 4 2 3 5" xfId="1547" xr:uid="{00000000-0005-0000-0000-0000CB240000}"/>
    <cellStyle name="Normal 4 2 3 5 2" xfId="1548" xr:uid="{00000000-0005-0000-0000-0000CC240000}"/>
    <cellStyle name="Normal 4 2 3 6" xfId="1549" xr:uid="{00000000-0005-0000-0000-0000CD240000}"/>
    <cellStyle name="Normal 4 2 3 6 2" xfId="10942" xr:uid="{00000000-0005-0000-0000-0000CE240000}"/>
    <cellStyle name="Normal 4 2 3 7" xfId="10943" xr:uid="{00000000-0005-0000-0000-0000CF240000}"/>
    <cellStyle name="Normal 4 2 3 7 2" xfId="10944" xr:uid="{00000000-0005-0000-0000-0000D0240000}"/>
    <cellStyle name="Normal 4 2 3 8" xfId="10945" xr:uid="{00000000-0005-0000-0000-0000D1240000}"/>
    <cellStyle name="Normal 4 2 3 9" xfId="10946" xr:uid="{00000000-0005-0000-0000-0000D2240000}"/>
    <cellStyle name="Normal 4 2 4" xfId="1550" xr:uid="{00000000-0005-0000-0000-0000D3240000}"/>
    <cellStyle name="Normal 4 2 4 10" xfId="10947" xr:uid="{00000000-0005-0000-0000-0000D4240000}"/>
    <cellStyle name="Normal 4 2 4 11" xfId="10948" xr:uid="{00000000-0005-0000-0000-0000D5240000}"/>
    <cellStyle name="Normal 4 2 4 12" xfId="10949" xr:uid="{00000000-0005-0000-0000-0000D6240000}"/>
    <cellStyle name="Normal 4 2 4 2" xfId="1551" xr:uid="{00000000-0005-0000-0000-0000D7240000}"/>
    <cellStyle name="Normal 4 2 4 2 2" xfId="1552" xr:uid="{00000000-0005-0000-0000-0000D8240000}"/>
    <cellStyle name="Normal 4 2 4 2 2 2" xfId="1553" xr:uid="{00000000-0005-0000-0000-0000D9240000}"/>
    <cellStyle name="Normal 4 2 4 2 2 2 2" xfId="1554" xr:uid="{00000000-0005-0000-0000-0000DA240000}"/>
    <cellStyle name="Normal 4 2 4 2 2 3" xfId="1555" xr:uid="{00000000-0005-0000-0000-0000DB240000}"/>
    <cellStyle name="Normal 4 2 4 2 3" xfId="1556" xr:uid="{00000000-0005-0000-0000-0000DC240000}"/>
    <cellStyle name="Normal 4 2 4 2 3 2" xfId="1557" xr:uid="{00000000-0005-0000-0000-0000DD240000}"/>
    <cellStyle name="Normal 4 2 4 2 4" xfId="1558" xr:uid="{00000000-0005-0000-0000-0000DE240000}"/>
    <cellStyle name="Normal 4 2 4 2 5" xfId="10950" xr:uid="{00000000-0005-0000-0000-0000DF240000}"/>
    <cellStyle name="Normal 4 2 4 2 6" xfId="10951" xr:uid="{00000000-0005-0000-0000-0000E0240000}"/>
    <cellStyle name="Normal 4 2 4 2 7" xfId="10952" xr:uid="{00000000-0005-0000-0000-0000E1240000}"/>
    <cellStyle name="Normal 4 2 4 2 8" xfId="10953" xr:uid="{00000000-0005-0000-0000-0000E2240000}"/>
    <cellStyle name="Normal 4 2 4 2 9" xfId="10954" xr:uid="{00000000-0005-0000-0000-0000E3240000}"/>
    <cellStyle name="Normal 4 2 4 3" xfId="1559" xr:uid="{00000000-0005-0000-0000-0000E4240000}"/>
    <cellStyle name="Normal 4 2 4 3 2" xfId="1560" xr:uid="{00000000-0005-0000-0000-0000E5240000}"/>
    <cellStyle name="Normal 4 2 4 3 2 2" xfId="1561" xr:uid="{00000000-0005-0000-0000-0000E6240000}"/>
    <cellStyle name="Normal 4 2 4 3 3" xfId="1562" xr:uid="{00000000-0005-0000-0000-0000E7240000}"/>
    <cellStyle name="Normal 4 2 4 3 4" xfId="10955" xr:uid="{00000000-0005-0000-0000-0000E8240000}"/>
    <cellStyle name="Normal 4 2 4 4" xfId="1563" xr:uid="{00000000-0005-0000-0000-0000E9240000}"/>
    <cellStyle name="Normal 4 2 4 4 2" xfId="1564" xr:uid="{00000000-0005-0000-0000-0000EA240000}"/>
    <cellStyle name="Normal 4 2 4 5" xfId="1565" xr:uid="{00000000-0005-0000-0000-0000EB240000}"/>
    <cellStyle name="Normal 4 2 4 5 2" xfId="10956" xr:uid="{00000000-0005-0000-0000-0000EC240000}"/>
    <cellStyle name="Normal 4 2 4 6" xfId="10957" xr:uid="{00000000-0005-0000-0000-0000ED240000}"/>
    <cellStyle name="Normal 4 2 4 6 2" xfId="10958" xr:uid="{00000000-0005-0000-0000-0000EE240000}"/>
    <cellStyle name="Normal 4 2 4 7" xfId="10959" xr:uid="{00000000-0005-0000-0000-0000EF240000}"/>
    <cellStyle name="Normal 4 2 4 8" xfId="10960" xr:uid="{00000000-0005-0000-0000-0000F0240000}"/>
    <cellStyle name="Normal 4 2 4 9" xfId="10961" xr:uid="{00000000-0005-0000-0000-0000F1240000}"/>
    <cellStyle name="Normal 4 2 5" xfId="1566" xr:uid="{00000000-0005-0000-0000-0000F2240000}"/>
    <cellStyle name="Normal 4 2 5 2" xfId="1567" xr:uid="{00000000-0005-0000-0000-0000F3240000}"/>
    <cellStyle name="Normal 4 2 5 2 2" xfId="1568" xr:uid="{00000000-0005-0000-0000-0000F4240000}"/>
    <cellStyle name="Normal 4 2 5 2 2 2" xfId="1569" xr:uid="{00000000-0005-0000-0000-0000F5240000}"/>
    <cellStyle name="Normal 4 2 5 2 3" xfId="1570" xr:uid="{00000000-0005-0000-0000-0000F6240000}"/>
    <cellStyle name="Normal 4 2 5 3" xfId="1571" xr:uid="{00000000-0005-0000-0000-0000F7240000}"/>
    <cellStyle name="Normal 4 2 5 3 2" xfId="1572" xr:uid="{00000000-0005-0000-0000-0000F8240000}"/>
    <cellStyle name="Normal 4 2 5 4" xfId="1573" xr:uid="{00000000-0005-0000-0000-0000F9240000}"/>
    <cellStyle name="Normal 4 2 5 5" xfId="10962" xr:uid="{00000000-0005-0000-0000-0000FA240000}"/>
    <cellStyle name="Normal 4 2 5 6" xfId="10963" xr:uid="{00000000-0005-0000-0000-0000FB240000}"/>
    <cellStyle name="Normal 4 2 6" xfId="1574" xr:uid="{00000000-0005-0000-0000-0000FC240000}"/>
    <cellStyle name="Normal 4 2 6 2" xfId="1575" xr:uid="{00000000-0005-0000-0000-0000FD240000}"/>
    <cellStyle name="Normal 4 2 6 2 2" xfId="1576" xr:uid="{00000000-0005-0000-0000-0000FE240000}"/>
    <cellStyle name="Normal 4 2 6 3" xfId="1577" xr:uid="{00000000-0005-0000-0000-0000FF240000}"/>
    <cellStyle name="Normal 4 2 6 4" xfId="10964" xr:uid="{00000000-0005-0000-0000-000000250000}"/>
    <cellStyle name="Normal 4 2 6 5" xfId="10965" xr:uid="{00000000-0005-0000-0000-000001250000}"/>
    <cellStyle name="Normal 4 2 7" xfId="1578" xr:uid="{00000000-0005-0000-0000-000002250000}"/>
    <cellStyle name="Normal 4 2 7 2" xfId="1579" xr:uid="{00000000-0005-0000-0000-000003250000}"/>
    <cellStyle name="Normal 4 2 7 2 2" xfId="10966" xr:uid="{00000000-0005-0000-0000-000004250000}"/>
    <cellStyle name="Normal 4 2 7 2 3" xfId="10967" xr:uid="{00000000-0005-0000-0000-000005250000}"/>
    <cellStyle name="Normal 4 2 7 3" xfId="10968" xr:uid="{00000000-0005-0000-0000-000006250000}"/>
    <cellStyle name="Normal 4 2 7 4" xfId="10969" xr:uid="{00000000-0005-0000-0000-000007250000}"/>
    <cellStyle name="Normal 4 2 7 5" xfId="10970" xr:uid="{00000000-0005-0000-0000-000008250000}"/>
    <cellStyle name="Normal 4 2 7 6" xfId="10971" xr:uid="{00000000-0005-0000-0000-000009250000}"/>
    <cellStyle name="Normal 4 2 7 7" xfId="10972" xr:uid="{00000000-0005-0000-0000-00000A250000}"/>
    <cellStyle name="Normal 4 2 8" xfId="1580" xr:uid="{00000000-0005-0000-0000-00000B250000}"/>
    <cellStyle name="Normal 4 2 8 2" xfId="10973" xr:uid="{00000000-0005-0000-0000-00000C250000}"/>
    <cellStyle name="Normal 4 2 8 3" xfId="10974" xr:uid="{00000000-0005-0000-0000-00000D250000}"/>
    <cellStyle name="Normal 4 2 9" xfId="10975" xr:uid="{00000000-0005-0000-0000-00000E250000}"/>
    <cellStyle name="Normal 4 2 9 2" xfId="10976" xr:uid="{00000000-0005-0000-0000-00000F250000}"/>
    <cellStyle name="Normal 4 3" xfId="1581" xr:uid="{00000000-0005-0000-0000-000010250000}"/>
    <cellStyle name="Normal 4 3 2" xfId="1582" xr:uid="{00000000-0005-0000-0000-000011250000}"/>
    <cellStyle name="Normal 4 3 2 2" xfId="1583" xr:uid="{00000000-0005-0000-0000-000012250000}"/>
    <cellStyle name="Normal 4 3 2 2 2" xfId="1584" xr:uid="{00000000-0005-0000-0000-000013250000}"/>
    <cellStyle name="Normal 4 3 2 2 2 2" xfId="1585" xr:uid="{00000000-0005-0000-0000-000014250000}"/>
    <cellStyle name="Normal 4 3 2 2 2 2 2" xfId="1586" xr:uid="{00000000-0005-0000-0000-000015250000}"/>
    <cellStyle name="Normal 4 3 2 2 2 2 2 2" xfId="1587" xr:uid="{00000000-0005-0000-0000-000016250000}"/>
    <cellStyle name="Normal 4 3 2 2 2 2 3" xfId="1588" xr:uid="{00000000-0005-0000-0000-000017250000}"/>
    <cellStyle name="Normal 4 3 2 2 2 3" xfId="1589" xr:uid="{00000000-0005-0000-0000-000018250000}"/>
    <cellStyle name="Normal 4 3 2 2 2 3 2" xfId="1590" xr:uid="{00000000-0005-0000-0000-000019250000}"/>
    <cellStyle name="Normal 4 3 2 2 2 4" xfId="1591" xr:uid="{00000000-0005-0000-0000-00001A250000}"/>
    <cellStyle name="Normal 4 3 2 2 3" xfId="1592" xr:uid="{00000000-0005-0000-0000-00001B250000}"/>
    <cellStyle name="Normal 4 3 2 2 3 2" xfId="1593" xr:uid="{00000000-0005-0000-0000-00001C250000}"/>
    <cellStyle name="Normal 4 3 2 2 3 2 2" xfId="1594" xr:uid="{00000000-0005-0000-0000-00001D250000}"/>
    <cellStyle name="Normal 4 3 2 2 3 3" xfId="1595" xr:uid="{00000000-0005-0000-0000-00001E250000}"/>
    <cellStyle name="Normal 4 3 2 2 4" xfId="1596" xr:uid="{00000000-0005-0000-0000-00001F250000}"/>
    <cellStyle name="Normal 4 3 2 2 4 2" xfId="1597" xr:uid="{00000000-0005-0000-0000-000020250000}"/>
    <cellStyle name="Normal 4 3 2 2 5" xfId="1598" xr:uid="{00000000-0005-0000-0000-000021250000}"/>
    <cellStyle name="Normal 4 3 2 3" xfId="1599" xr:uid="{00000000-0005-0000-0000-000022250000}"/>
    <cellStyle name="Normal 4 3 2 3 2" xfId="1600" xr:uid="{00000000-0005-0000-0000-000023250000}"/>
    <cellStyle name="Normal 4 3 2 3 2 2" xfId="1601" xr:uid="{00000000-0005-0000-0000-000024250000}"/>
    <cellStyle name="Normal 4 3 2 3 2 2 2" xfId="1602" xr:uid="{00000000-0005-0000-0000-000025250000}"/>
    <cellStyle name="Normal 4 3 2 3 2 3" xfId="1603" xr:uid="{00000000-0005-0000-0000-000026250000}"/>
    <cellStyle name="Normal 4 3 2 3 3" xfId="1604" xr:uid="{00000000-0005-0000-0000-000027250000}"/>
    <cellStyle name="Normal 4 3 2 3 3 2" xfId="1605" xr:uid="{00000000-0005-0000-0000-000028250000}"/>
    <cellStyle name="Normal 4 3 2 3 4" xfId="1606" xr:uid="{00000000-0005-0000-0000-000029250000}"/>
    <cellStyle name="Normal 4 3 2 4" xfId="1607" xr:uid="{00000000-0005-0000-0000-00002A250000}"/>
    <cellStyle name="Normal 4 3 2 4 2" xfId="1608" xr:uid="{00000000-0005-0000-0000-00002B250000}"/>
    <cellStyle name="Normal 4 3 2 4 2 2" xfId="1609" xr:uid="{00000000-0005-0000-0000-00002C250000}"/>
    <cellStyle name="Normal 4 3 2 4 3" xfId="1610" xr:uid="{00000000-0005-0000-0000-00002D250000}"/>
    <cellStyle name="Normal 4 3 2 5" xfId="1611" xr:uid="{00000000-0005-0000-0000-00002E250000}"/>
    <cellStyle name="Normal 4 3 2 5 2" xfId="1612" xr:uid="{00000000-0005-0000-0000-00002F250000}"/>
    <cellStyle name="Normal 4 3 2 6" xfId="1613" xr:uid="{00000000-0005-0000-0000-000030250000}"/>
    <cellStyle name="Normal 4 3 3" xfId="1614" xr:uid="{00000000-0005-0000-0000-000031250000}"/>
    <cellStyle name="Normal 4 3 3 2" xfId="1615" xr:uid="{00000000-0005-0000-0000-000032250000}"/>
    <cellStyle name="Normal 4 3 3 2 2" xfId="1616" xr:uid="{00000000-0005-0000-0000-000033250000}"/>
    <cellStyle name="Normal 4 3 3 2 2 2" xfId="1617" xr:uid="{00000000-0005-0000-0000-000034250000}"/>
    <cellStyle name="Normal 4 3 3 2 2 2 2" xfId="1618" xr:uid="{00000000-0005-0000-0000-000035250000}"/>
    <cellStyle name="Normal 4 3 3 2 2 3" xfId="1619" xr:uid="{00000000-0005-0000-0000-000036250000}"/>
    <cellStyle name="Normal 4 3 3 2 3" xfId="1620" xr:uid="{00000000-0005-0000-0000-000037250000}"/>
    <cellStyle name="Normal 4 3 3 2 3 2" xfId="1621" xr:uid="{00000000-0005-0000-0000-000038250000}"/>
    <cellStyle name="Normal 4 3 3 2 4" xfId="1622" xr:uid="{00000000-0005-0000-0000-000039250000}"/>
    <cellStyle name="Normal 4 3 3 3" xfId="1623" xr:uid="{00000000-0005-0000-0000-00003A250000}"/>
    <cellStyle name="Normal 4 3 3 3 2" xfId="1624" xr:uid="{00000000-0005-0000-0000-00003B250000}"/>
    <cellStyle name="Normal 4 3 3 3 2 2" xfId="1625" xr:uid="{00000000-0005-0000-0000-00003C250000}"/>
    <cellStyle name="Normal 4 3 3 3 3" xfId="1626" xr:uid="{00000000-0005-0000-0000-00003D250000}"/>
    <cellStyle name="Normal 4 3 3 4" xfId="1627" xr:uid="{00000000-0005-0000-0000-00003E250000}"/>
    <cellStyle name="Normal 4 3 3 4 2" xfId="1628" xr:uid="{00000000-0005-0000-0000-00003F250000}"/>
    <cellStyle name="Normal 4 3 3 5" xfId="1629" xr:uid="{00000000-0005-0000-0000-000040250000}"/>
    <cellStyle name="Normal 4 3 4" xfId="1630" xr:uid="{00000000-0005-0000-0000-000041250000}"/>
    <cellStyle name="Normal 4 3 4 2" xfId="1631" xr:uid="{00000000-0005-0000-0000-000042250000}"/>
    <cellStyle name="Normal 4 3 4 2 2" xfId="1632" xr:uid="{00000000-0005-0000-0000-000043250000}"/>
    <cellStyle name="Normal 4 3 4 2 2 2" xfId="1633" xr:uid="{00000000-0005-0000-0000-000044250000}"/>
    <cellStyle name="Normal 4 3 4 2 3" xfId="1634" xr:uid="{00000000-0005-0000-0000-000045250000}"/>
    <cellStyle name="Normal 4 3 4 3" xfId="1635" xr:uid="{00000000-0005-0000-0000-000046250000}"/>
    <cellStyle name="Normal 4 3 4 3 2" xfId="1636" xr:uid="{00000000-0005-0000-0000-000047250000}"/>
    <cellStyle name="Normal 4 3 4 4" xfId="1637" xr:uid="{00000000-0005-0000-0000-000048250000}"/>
    <cellStyle name="Normal 4 3 5" xfId="1638" xr:uid="{00000000-0005-0000-0000-000049250000}"/>
    <cellStyle name="Normal 4 3 5 2" xfId="1639" xr:uid="{00000000-0005-0000-0000-00004A250000}"/>
    <cellStyle name="Normal 4 3 5 2 2" xfId="1640" xr:uid="{00000000-0005-0000-0000-00004B250000}"/>
    <cellStyle name="Normal 4 3 5 3" xfId="1641" xr:uid="{00000000-0005-0000-0000-00004C250000}"/>
    <cellStyle name="Normal 4 3 6" xfId="1642" xr:uid="{00000000-0005-0000-0000-00004D250000}"/>
    <cellStyle name="Normal 4 3 6 2" xfId="1643" xr:uid="{00000000-0005-0000-0000-00004E250000}"/>
    <cellStyle name="Normal 4 3 7" xfId="1644" xr:uid="{00000000-0005-0000-0000-00004F250000}"/>
    <cellStyle name="Normal 4 4" xfId="1645" xr:uid="{00000000-0005-0000-0000-000050250000}"/>
    <cellStyle name="Normal 4 4 2" xfId="1646" xr:uid="{00000000-0005-0000-0000-000051250000}"/>
    <cellStyle name="Normal 4 4 2 2" xfId="1647" xr:uid="{00000000-0005-0000-0000-000052250000}"/>
    <cellStyle name="Normal 4 4 2 2 2" xfId="1648" xr:uid="{00000000-0005-0000-0000-000053250000}"/>
    <cellStyle name="Normal 4 4 2 2 2 2" xfId="1649" xr:uid="{00000000-0005-0000-0000-000054250000}"/>
    <cellStyle name="Normal 4 4 2 2 2 2 2" xfId="1650" xr:uid="{00000000-0005-0000-0000-000055250000}"/>
    <cellStyle name="Normal 4 4 2 2 2 3" xfId="1651" xr:uid="{00000000-0005-0000-0000-000056250000}"/>
    <cellStyle name="Normal 4 4 2 2 3" xfId="1652" xr:uid="{00000000-0005-0000-0000-000057250000}"/>
    <cellStyle name="Normal 4 4 2 2 3 2" xfId="1653" xr:uid="{00000000-0005-0000-0000-000058250000}"/>
    <cellStyle name="Normal 4 4 2 2 4" xfId="1654" xr:uid="{00000000-0005-0000-0000-000059250000}"/>
    <cellStyle name="Normal 4 4 2 3" xfId="1655" xr:uid="{00000000-0005-0000-0000-00005A250000}"/>
    <cellStyle name="Normal 4 4 2 3 2" xfId="1656" xr:uid="{00000000-0005-0000-0000-00005B250000}"/>
    <cellStyle name="Normal 4 4 2 3 2 2" xfId="1657" xr:uid="{00000000-0005-0000-0000-00005C250000}"/>
    <cellStyle name="Normal 4 4 2 3 3" xfId="1658" xr:uid="{00000000-0005-0000-0000-00005D250000}"/>
    <cellStyle name="Normal 4 4 2 4" xfId="1659" xr:uid="{00000000-0005-0000-0000-00005E250000}"/>
    <cellStyle name="Normal 4 4 2 4 2" xfId="1660" xr:uid="{00000000-0005-0000-0000-00005F250000}"/>
    <cellStyle name="Normal 4 4 2 5" xfId="1661" xr:uid="{00000000-0005-0000-0000-000060250000}"/>
    <cellStyle name="Normal 4 4 3" xfId="1662" xr:uid="{00000000-0005-0000-0000-000061250000}"/>
    <cellStyle name="Normal 4 4 3 2" xfId="1663" xr:uid="{00000000-0005-0000-0000-000062250000}"/>
    <cellStyle name="Normal 4 4 3 2 2" xfId="1664" xr:uid="{00000000-0005-0000-0000-000063250000}"/>
    <cellStyle name="Normal 4 4 3 2 2 2" xfId="1665" xr:uid="{00000000-0005-0000-0000-000064250000}"/>
    <cellStyle name="Normal 4 4 3 2 3" xfId="1666" xr:uid="{00000000-0005-0000-0000-000065250000}"/>
    <cellStyle name="Normal 4 4 3 3" xfId="1667" xr:uid="{00000000-0005-0000-0000-000066250000}"/>
    <cellStyle name="Normal 4 4 3 3 2" xfId="1668" xr:uid="{00000000-0005-0000-0000-000067250000}"/>
    <cellStyle name="Normal 4 4 3 4" xfId="1669" xr:uid="{00000000-0005-0000-0000-000068250000}"/>
    <cellStyle name="Normal 4 4 4" xfId="1670" xr:uid="{00000000-0005-0000-0000-000069250000}"/>
    <cellStyle name="Normal 4 4 4 2" xfId="1671" xr:uid="{00000000-0005-0000-0000-00006A250000}"/>
    <cellStyle name="Normal 4 4 4 2 2" xfId="1672" xr:uid="{00000000-0005-0000-0000-00006B250000}"/>
    <cellStyle name="Normal 4 4 4 3" xfId="1673" xr:uid="{00000000-0005-0000-0000-00006C250000}"/>
    <cellStyle name="Normal 4 4 5" xfId="1674" xr:uid="{00000000-0005-0000-0000-00006D250000}"/>
    <cellStyle name="Normal 4 4 5 2" xfId="1675" xr:uid="{00000000-0005-0000-0000-00006E250000}"/>
    <cellStyle name="Normal 4 4 6" xfId="1676" xr:uid="{00000000-0005-0000-0000-00006F250000}"/>
    <cellStyle name="Normal 4 5" xfId="1677" xr:uid="{00000000-0005-0000-0000-000070250000}"/>
    <cellStyle name="Normal 4 5 10" xfId="10977" xr:uid="{00000000-0005-0000-0000-000071250000}"/>
    <cellStyle name="Normal 4 5 11" xfId="10978" xr:uid="{00000000-0005-0000-0000-000072250000}"/>
    <cellStyle name="Normal 4 5 12" xfId="10979" xr:uid="{00000000-0005-0000-0000-000073250000}"/>
    <cellStyle name="Normal 4 5 13" xfId="10980" xr:uid="{00000000-0005-0000-0000-000074250000}"/>
    <cellStyle name="Normal 4 5 14" xfId="10981" xr:uid="{00000000-0005-0000-0000-000075250000}"/>
    <cellStyle name="Normal 4 5 2" xfId="1678" xr:uid="{00000000-0005-0000-0000-000076250000}"/>
    <cellStyle name="Normal 4 5 2 10" xfId="10982" xr:uid="{00000000-0005-0000-0000-000077250000}"/>
    <cellStyle name="Normal 4 5 2 11" xfId="10983" xr:uid="{00000000-0005-0000-0000-000078250000}"/>
    <cellStyle name="Normal 4 5 2 12" xfId="10984" xr:uid="{00000000-0005-0000-0000-000079250000}"/>
    <cellStyle name="Normal 4 5 2 13" xfId="10985" xr:uid="{00000000-0005-0000-0000-00007A250000}"/>
    <cellStyle name="Normal 4 5 2 2" xfId="1679" xr:uid="{00000000-0005-0000-0000-00007B250000}"/>
    <cellStyle name="Normal 4 5 2 2 10" xfId="10986" xr:uid="{00000000-0005-0000-0000-00007C250000}"/>
    <cellStyle name="Normal 4 5 2 2 11" xfId="10987" xr:uid="{00000000-0005-0000-0000-00007D250000}"/>
    <cellStyle name="Normal 4 5 2 2 2" xfId="1680" xr:uid="{00000000-0005-0000-0000-00007E250000}"/>
    <cellStyle name="Normal 4 5 2 2 2 2" xfId="1681" xr:uid="{00000000-0005-0000-0000-00007F250000}"/>
    <cellStyle name="Normal 4 5 2 2 2 2 2" xfId="10988" xr:uid="{00000000-0005-0000-0000-000080250000}"/>
    <cellStyle name="Normal 4 5 2 2 2 2 3" xfId="10989" xr:uid="{00000000-0005-0000-0000-000081250000}"/>
    <cellStyle name="Normal 4 5 2 2 2 3" xfId="10990" xr:uid="{00000000-0005-0000-0000-000082250000}"/>
    <cellStyle name="Normal 4 5 2 2 2 3 2" xfId="10991" xr:uid="{00000000-0005-0000-0000-000083250000}"/>
    <cellStyle name="Normal 4 5 2 2 2 4" xfId="10992" xr:uid="{00000000-0005-0000-0000-000084250000}"/>
    <cellStyle name="Normal 4 5 2 2 2 5" xfId="10993" xr:uid="{00000000-0005-0000-0000-000085250000}"/>
    <cellStyle name="Normal 4 5 2 2 2 6" xfId="10994" xr:uid="{00000000-0005-0000-0000-000086250000}"/>
    <cellStyle name="Normal 4 5 2 2 2 7" xfId="10995" xr:uid="{00000000-0005-0000-0000-000087250000}"/>
    <cellStyle name="Normal 4 5 2 2 2 8" xfId="10996" xr:uid="{00000000-0005-0000-0000-000088250000}"/>
    <cellStyle name="Normal 4 5 2 2 3" xfId="1682" xr:uid="{00000000-0005-0000-0000-000089250000}"/>
    <cellStyle name="Normal 4 5 2 2 3 2" xfId="10997" xr:uid="{00000000-0005-0000-0000-00008A250000}"/>
    <cellStyle name="Normal 4 5 2 2 3 2 2" xfId="10998" xr:uid="{00000000-0005-0000-0000-00008B250000}"/>
    <cellStyle name="Normal 4 5 2 2 3 3" xfId="10999" xr:uid="{00000000-0005-0000-0000-00008C250000}"/>
    <cellStyle name="Normal 4 5 2 2 3 4" xfId="11000" xr:uid="{00000000-0005-0000-0000-00008D250000}"/>
    <cellStyle name="Normal 4 5 2 2 4" xfId="11001" xr:uid="{00000000-0005-0000-0000-00008E250000}"/>
    <cellStyle name="Normal 4 5 2 2 4 2" xfId="11002" xr:uid="{00000000-0005-0000-0000-00008F250000}"/>
    <cellStyle name="Normal 4 5 2 2 5" xfId="11003" xr:uid="{00000000-0005-0000-0000-000090250000}"/>
    <cellStyle name="Normal 4 5 2 2 5 2" xfId="11004" xr:uid="{00000000-0005-0000-0000-000091250000}"/>
    <cellStyle name="Normal 4 5 2 2 6" xfId="11005" xr:uid="{00000000-0005-0000-0000-000092250000}"/>
    <cellStyle name="Normal 4 5 2 2 6 2" xfId="11006" xr:uid="{00000000-0005-0000-0000-000093250000}"/>
    <cellStyle name="Normal 4 5 2 2 7" xfId="11007" xr:uid="{00000000-0005-0000-0000-000094250000}"/>
    <cellStyle name="Normal 4 5 2 2 8" xfId="11008" xr:uid="{00000000-0005-0000-0000-000095250000}"/>
    <cellStyle name="Normal 4 5 2 2 9" xfId="11009" xr:uid="{00000000-0005-0000-0000-000096250000}"/>
    <cellStyle name="Normal 4 5 2 3" xfId="1683" xr:uid="{00000000-0005-0000-0000-000097250000}"/>
    <cellStyle name="Normal 4 5 2 3 2" xfId="1684" xr:uid="{00000000-0005-0000-0000-000098250000}"/>
    <cellStyle name="Normal 4 5 2 3 2 2" xfId="11010" xr:uid="{00000000-0005-0000-0000-000099250000}"/>
    <cellStyle name="Normal 4 5 2 3 2 3" xfId="11011" xr:uid="{00000000-0005-0000-0000-00009A250000}"/>
    <cellStyle name="Normal 4 5 2 3 3" xfId="11012" xr:uid="{00000000-0005-0000-0000-00009B250000}"/>
    <cellStyle name="Normal 4 5 2 3 3 2" xfId="11013" xr:uid="{00000000-0005-0000-0000-00009C250000}"/>
    <cellStyle name="Normal 4 5 2 3 4" xfId="11014" xr:uid="{00000000-0005-0000-0000-00009D250000}"/>
    <cellStyle name="Normal 4 5 2 3 5" xfId="11015" xr:uid="{00000000-0005-0000-0000-00009E250000}"/>
    <cellStyle name="Normal 4 5 2 3 6" xfId="11016" xr:uid="{00000000-0005-0000-0000-00009F250000}"/>
    <cellStyle name="Normal 4 5 2 3 7" xfId="11017" xr:uid="{00000000-0005-0000-0000-0000A0250000}"/>
    <cellStyle name="Normal 4 5 2 3 8" xfId="11018" xr:uid="{00000000-0005-0000-0000-0000A1250000}"/>
    <cellStyle name="Normal 4 5 2 4" xfId="1685" xr:uid="{00000000-0005-0000-0000-0000A2250000}"/>
    <cellStyle name="Normal 4 5 2 4 2" xfId="11019" xr:uid="{00000000-0005-0000-0000-0000A3250000}"/>
    <cellStyle name="Normal 4 5 2 4 2 2" xfId="11020" xr:uid="{00000000-0005-0000-0000-0000A4250000}"/>
    <cellStyle name="Normal 4 5 2 4 3" xfId="11021" xr:uid="{00000000-0005-0000-0000-0000A5250000}"/>
    <cellStyle name="Normal 4 5 2 4 4" xfId="11022" xr:uid="{00000000-0005-0000-0000-0000A6250000}"/>
    <cellStyle name="Normal 4 5 2 5" xfId="11023" xr:uid="{00000000-0005-0000-0000-0000A7250000}"/>
    <cellStyle name="Normal 4 5 2 5 2" xfId="11024" xr:uid="{00000000-0005-0000-0000-0000A8250000}"/>
    <cellStyle name="Normal 4 5 2 6" xfId="11025" xr:uid="{00000000-0005-0000-0000-0000A9250000}"/>
    <cellStyle name="Normal 4 5 2 6 2" xfId="11026" xr:uid="{00000000-0005-0000-0000-0000AA250000}"/>
    <cellStyle name="Normal 4 5 2 7" xfId="11027" xr:uid="{00000000-0005-0000-0000-0000AB250000}"/>
    <cellStyle name="Normal 4 5 2 7 2" xfId="11028" xr:uid="{00000000-0005-0000-0000-0000AC250000}"/>
    <cellStyle name="Normal 4 5 2 8" xfId="11029" xr:uid="{00000000-0005-0000-0000-0000AD250000}"/>
    <cellStyle name="Normal 4 5 2 9" xfId="11030" xr:uid="{00000000-0005-0000-0000-0000AE250000}"/>
    <cellStyle name="Normal 4 5 3" xfId="1686" xr:uid="{00000000-0005-0000-0000-0000AF250000}"/>
    <cellStyle name="Normal 4 5 3 10" xfId="11031" xr:uid="{00000000-0005-0000-0000-0000B0250000}"/>
    <cellStyle name="Normal 4 5 3 11" xfId="11032" xr:uid="{00000000-0005-0000-0000-0000B1250000}"/>
    <cellStyle name="Normal 4 5 3 2" xfId="1687" xr:uid="{00000000-0005-0000-0000-0000B2250000}"/>
    <cellStyle name="Normal 4 5 3 2 2" xfId="1688" xr:uid="{00000000-0005-0000-0000-0000B3250000}"/>
    <cellStyle name="Normal 4 5 3 2 2 2" xfId="11033" xr:uid="{00000000-0005-0000-0000-0000B4250000}"/>
    <cellStyle name="Normal 4 5 3 2 2 3" xfId="11034" xr:uid="{00000000-0005-0000-0000-0000B5250000}"/>
    <cellStyle name="Normal 4 5 3 2 3" xfId="11035" xr:uid="{00000000-0005-0000-0000-0000B6250000}"/>
    <cellStyle name="Normal 4 5 3 2 3 2" xfId="11036" xr:uid="{00000000-0005-0000-0000-0000B7250000}"/>
    <cellStyle name="Normal 4 5 3 2 4" xfId="11037" xr:uid="{00000000-0005-0000-0000-0000B8250000}"/>
    <cellStyle name="Normal 4 5 3 2 5" xfId="11038" xr:uid="{00000000-0005-0000-0000-0000B9250000}"/>
    <cellStyle name="Normal 4 5 3 2 6" xfId="11039" xr:uid="{00000000-0005-0000-0000-0000BA250000}"/>
    <cellStyle name="Normal 4 5 3 2 7" xfId="11040" xr:uid="{00000000-0005-0000-0000-0000BB250000}"/>
    <cellStyle name="Normal 4 5 3 2 8" xfId="11041" xr:uid="{00000000-0005-0000-0000-0000BC250000}"/>
    <cellStyle name="Normal 4 5 3 3" xfId="1689" xr:uid="{00000000-0005-0000-0000-0000BD250000}"/>
    <cellStyle name="Normal 4 5 3 3 2" xfId="11042" xr:uid="{00000000-0005-0000-0000-0000BE250000}"/>
    <cellStyle name="Normal 4 5 3 3 2 2" xfId="11043" xr:uid="{00000000-0005-0000-0000-0000BF250000}"/>
    <cellStyle name="Normal 4 5 3 3 3" xfId="11044" xr:uid="{00000000-0005-0000-0000-0000C0250000}"/>
    <cellStyle name="Normal 4 5 3 3 4" xfId="11045" xr:uid="{00000000-0005-0000-0000-0000C1250000}"/>
    <cellStyle name="Normal 4 5 3 4" xfId="11046" xr:uid="{00000000-0005-0000-0000-0000C2250000}"/>
    <cellStyle name="Normal 4 5 3 4 2" xfId="11047" xr:uid="{00000000-0005-0000-0000-0000C3250000}"/>
    <cellStyle name="Normal 4 5 3 5" xfId="11048" xr:uid="{00000000-0005-0000-0000-0000C4250000}"/>
    <cellStyle name="Normal 4 5 3 5 2" xfId="11049" xr:uid="{00000000-0005-0000-0000-0000C5250000}"/>
    <cellStyle name="Normal 4 5 3 6" xfId="11050" xr:uid="{00000000-0005-0000-0000-0000C6250000}"/>
    <cellStyle name="Normal 4 5 3 6 2" xfId="11051" xr:uid="{00000000-0005-0000-0000-0000C7250000}"/>
    <cellStyle name="Normal 4 5 3 7" xfId="11052" xr:uid="{00000000-0005-0000-0000-0000C8250000}"/>
    <cellStyle name="Normal 4 5 3 8" xfId="11053" xr:uid="{00000000-0005-0000-0000-0000C9250000}"/>
    <cellStyle name="Normal 4 5 3 9" xfId="11054" xr:uid="{00000000-0005-0000-0000-0000CA250000}"/>
    <cellStyle name="Normal 4 5 4" xfId="1690" xr:uid="{00000000-0005-0000-0000-0000CB250000}"/>
    <cellStyle name="Normal 4 5 4 2" xfId="1691" xr:uid="{00000000-0005-0000-0000-0000CC250000}"/>
    <cellStyle name="Normal 4 5 4 2 2" xfId="11055" xr:uid="{00000000-0005-0000-0000-0000CD250000}"/>
    <cellStyle name="Normal 4 5 4 3" xfId="11056" xr:uid="{00000000-0005-0000-0000-0000CE250000}"/>
    <cellStyle name="Normal 4 5 4 4" xfId="11057" xr:uid="{00000000-0005-0000-0000-0000CF250000}"/>
    <cellStyle name="Normal 4 5 4 5" xfId="11058" xr:uid="{00000000-0005-0000-0000-0000D0250000}"/>
    <cellStyle name="Normal 4 5 5" xfId="1692" xr:uid="{00000000-0005-0000-0000-0000D1250000}"/>
    <cellStyle name="Normal 4 5 5 2" xfId="11059" xr:uid="{00000000-0005-0000-0000-0000D2250000}"/>
    <cellStyle name="Normal 4 5 5 2 2" xfId="11060" xr:uid="{00000000-0005-0000-0000-0000D3250000}"/>
    <cellStyle name="Normal 4 5 5 2 3" xfId="11061" xr:uid="{00000000-0005-0000-0000-0000D4250000}"/>
    <cellStyle name="Normal 4 5 5 3" xfId="11062" xr:uid="{00000000-0005-0000-0000-0000D5250000}"/>
    <cellStyle name="Normal 4 5 5 3 2" xfId="11063" xr:uid="{00000000-0005-0000-0000-0000D6250000}"/>
    <cellStyle name="Normal 4 5 5 4" xfId="11064" xr:uid="{00000000-0005-0000-0000-0000D7250000}"/>
    <cellStyle name="Normal 4 5 5 5" xfId="11065" xr:uid="{00000000-0005-0000-0000-0000D8250000}"/>
    <cellStyle name="Normal 4 5 5 6" xfId="11066" xr:uid="{00000000-0005-0000-0000-0000D9250000}"/>
    <cellStyle name="Normal 4 5 5 7" xfId="11067" xr:uid="{00000000-0005-0000-0000-0000DA250000}"/>
    <cellStyle name="Normal 4 5 5 8" xfId="11068" xr:uid="{00000000-0005-0000-0000-0000DB250000}"/>
    <cellStyle name="Normal 4 5 6" xfId="11069" xr:uid="{00000000-0005-0000-0000-0000DC250000}"/>
    <cellStyle name="Normal 4 5 6 2" xfId="11070" xr:uid="{00000000-0005-0000-0000-0000DD250000}"/>
    <cellStyle name="Normal 4 5 6 3" xfId="11071" xr:uid="{00000000-0005-0000-0000-0000DE250000}"/>
    <cellStyle name="Normal 4 5 7" xfId="11072" xr:uid="{00000000-0005-0000-0000-0000DF250000}"/>
    <cellStyle name="Normal 4 5 7 2" xfId="11073" xr:uid="{00000000-0005-0000-0000-0000E0250000}"/>
    <cellStyle name="Normal 4 5 8" xfId="11074" xr:uid="{00000000-0005-0000-0000-0000E1250000}"/>
    <cellStyle name="Normal 4 5 8 2" xfId="11075" xr:uid="{00000000-0005-0000-0000-0000E2250000}"/>
    <cellStyle name="Normal 4 5 9" xfId="11076" xr:uid="{00000000-0005-0000-0000-0000E3250000}"/>
    <cellStyle name="Normal 4 6" xfId="1693" xr:uid="{00000000-0005-0000-0000-0000E4250000}"/>
    <cellStyle name="Normal 4 6 2" xfId="1694" xr:uid="{00000000-0005-0000-0000-0000E5250000}"/>
    <cellStyle name="Normal 4 6 2 2" xfId="1695" xr:uid="{00000000-0005-0000-0000-0000E6250000}"/>
    <cellStyle name="Normal 4 6 2 2 2" xfId="1696" xr:uid="{00000000-0005-0000-0000-0000E7250000}"/>
    <cellStyle name="Normal 4 6 2 3" xfId="1697" xr:uid="{00000000-0005-0000-0000-0000E8250000}"/>
    <cellStyle name="Normal 4 6 3" xfId="1698" xr:uid="{00000000-0005-0000-0000-0000E9250000}"/>
    <cellStyle name="Normal 4 6 3 2" xfId="1699" xr:uid="{00000000-0005-0000-0000-0000EA250000}"/>
    <cellStyle name="Normal 4 6 4" xfId="1700" xr:uid="{00000000-0005-0000-0000-0000EB250000}"/>
    <cellStyle name="Normal 4 7" xfId="1701" xr:uid="{00000000-0005-0000-0000-0000EC250000}"/>
    <cellStyle name="Normal 4 7 10" xfId="11077" xr:uid="{00000000-0005-0000-0000-0000ED250000}"/>
    <cellStyle name="Normal 4 7 11" xfId="11078" xr:uid="{00000000-0005-0000-0000-0000EE250000}"/>
    <cellStyle name="Normal 4 7 12" xfId="11079" xr:uid="{00000000-0005-0000-0000-0000EF250000}"/>
    <cellStyle name="Normal 4 7 13" xfId="11080" xr:uid="{00000000-0005-0000-0000-0000F0250000}"/>
    <cellStyle name="Normal 4 7 2" xfId="1702" xr:uid="{00000000-0005-0000-0000-0000F1250000}"/>
    <cellStyle name="Normal 4 7 2 10" xfId="11081" xr:uid="{00000000-0005-0000-0000-0000F2250000}"/>
    <cellStyle name="Normal 4 7 2 11" xfId="11082" xr:uid="{00000000-0005-0000-0000-0000F3250000}"/>
    <cellStyle name="Normal 4 7 2 12" xfId="11083" xr:uid="{00000000-0005-0000-0000-0000F4250000}"/>
    <cellStyle name="Normal 4 7 2 2" xfId="1703" xr:uid="{00000000-0005-0000-0000-0000F5250000}"/>
    <cellStyle name="Normal 4 7 2 2 2" xfId="11084" xr:uid="{00000000-0005-0000-0000-0000F6250000}"/>
    <cellStyle name="Normal 4 7 2 2 2 2" xfId="11085" xr:uid="{00000000-0005-0000-0000-0000F7250000}"/>
    <cellStyle name="Normal 4 7 2 2 2 3" xfId="11086" xr:uid="{00000000-0005-0000-0000-0000F8250000}"/>
    <cellStyle name="Normal 4 7 2 2 3" xfId="11087" xr:uid="{00000000-0005-0000-0000-0000F9250000}"/>
    <cellStyle name="Normal 4 7 2 2 3 2" xfId="11088" xr:uid="{00000000-0005-0000-0000-0000FA250000}"/>
    <cellStyle name="Normal 4 7 2 2 4" xfId="11089" xr:uid="{00000000-0005-0000-0000-0000FB250000}"/>
    <cellStyle name="Normal 4 7 2 2 5" xfId="11090" xr:uid="{00000000-0005-0000-0000-0000FC250000}"/>
    <cellStyle name="Normal 4 7 2 2 6" xfId="11091" xr:uid="{00000000-0005-0000-0000-0000FD250000}"/>
    <cellStyle name="Normal 4 7 2 2 7" xfId="11092" xr:uid="{00000000-0005-0000-0000-0000FE250000}"/>
    <cellStyle name="Normal 4 7 2 2 8" xfId="11093" xr:uid="{00000000-0005-0000-0000-0000FF250000}"/>
    <cellStyle name="Normal 4 7 2 3" xfId="11094" xr:uid="{00000000-0005-0000-0000-000000260000}"/>
    <cellStyle name="Normal 4 7 2 3 2" xfId="11095" xr:uid="{00000000-0005-0000-0000-000001260000}"/>
    <cellStyle name="Normal 4 7 2 3 2 2" xfId="11096" xr:uid="{00000000-0005-0000-0000-000002260000}"/>
    <cellStyle name="Normal 4 7 2 3 3" xfId="11097" xr:uid="{00000000-0005-0000-0000-000003260000}"/>
    <cellStyle name="Normal 4 7 2 3 4" xfId="11098" xr:uid="{00000000-0005-0000-0000-000004260000}"/>
    <cellStyle name="Normal 4 7 2 4" xfId="11099" xr:uid="{00000000-0005-0000-0000-000005260000}"/>
    <cellStyle name="Normal 4 7 2 4 2" xfId="11100" xr:uid="{00000000-0005-0000-0000-000006260000}"/>
    <cellStyle name="Normal 4 7 2 5" xfId="11101" xr:uid="{00000000-0005-0000-0000-000007260000}"/>
    <cellStyle name="Normal 4 7 2 5 2" xfId="11102" xr:uid="{00000000-0005-0000-0000-000008260000}"/>
    <cellStyle name="Normal 4 7 2 6" xfId="11103" xr:uid="{00000000-0005-0000-0000-000009260000}"/>
    <cellStyle name="Normal 4 7 2 6 2" xfId="11104" xr:uid="{00000000-0005-0000-0000-00000A260000}"/>
    <cellStyle name="Normal 4 7 2 7" xfId="11105" xr:uid="{00000000-0005-0000-0000-00000B260000}"/>
    <cellStyle name="Normal 4 7 2 8" xfId="11106" xr:uid="{00000000-0005-0000-0000-00000C260000}"/>
    <cellStyle name="Normal 4 7 2 9" xfId="11107" xr:uid="{00000000-0005-0000-0000-00000D260000}"/>
    <cellStyle name="Normal 4 7 3" xfId="1704" xr:uid="{00000000-0005-0000-0000-00000E260000}"/>
    <cellStyle name="Normal 4 7 3 2" xfId="11108" xr:uid="{00000000-0005-0000-0000-00000F260000}"/>
    <cellStyle name="Normal 4 7 3 2 2" xfId="11109" xr:uid="{00000000-0005-0000-0000-000010260000}"/>
    <cellStyle name="Normal 4 7 3 3" xfId="11110" xr:uid="{00000000-0005-0000-0000-000011260000}"/>
    <cellStyle name="Normal 4 7 3 4" xfId="11111" xr:uid="{00000000-0005-0000-0000-000012260000}"/>
    <cellStyle name="Normal 4 7 3 5" xfId="11112" xr:uid="{00000000-0005-0000-0000-000013260000}"/>
    <cellStyle name="Normal 4 7 4" xfId="11113" xr:uid="{00000000-0005-0000-0000-000014260000}"/>
    <cellStyle name="Normal 4 7 4 2" xfId="11114" xr:uid="{00000000-0005-0000-0000-000015260000}"/>
    <cellStyle name="Normal 4 7 4 2 2" xfId="11115" xr:uid="{00000000-0005-0000-0000-000016260000}"/>
    <cellStyle name="Normal 4 7 4 2 3" xfId="11116" xr:uid="{00000000-0005-0000-0000-000017260000}"/>
    <cellStyle name="Normal 4 7 4 3" xfId="11117" xr:uid="{00000000-0005-0000-0000-000018260000}"/>
    <cellStyle name="Normal 4 7 4 3 2" xfId="11118" xr:uid="{00000000-0005-0000-0000-000019260000}"/>
    <cellStyle name="Normal 4 7 4 4" xfId="11119" xr:uid="{00000000-0005-0000-0000-00001A260000}"/>
    <cellStyle name="Normal 4 7 4 5" xfId="11120" xr:uid="{00000000-0005-0000-0000-00001B260000}"/>
    <cellStyle name="Normal 4 7 4 6" xfId="11121" xr:uid="{00000000-0005-0000-0000-00001C260000}"/>
    <cellStyle name="Normal 4 7 4 7" xfId="11122" xr:uid="{00000000-0005-0000-0000-00001D260000}"/>
    <cellStyle name="Normal 4 7 4 8" xfId="11123" xr:uid="{00000000-0005-0000-0000-00001E260000}"/>
    <cellStyle name="Normal 4 7 5" xfId="11124" xr:uid="{00000000-0005-0000-0000-00001F260000}"/>
    <cellStyle name="Normal 4 7 5 2" xfId="11125" xr:uid="{00000000-0005-0000-0000-000020260000}"/>
    <cellStyle name="Normal 4 7 5 3" xfId="11126" xr:uid="{00000000-0005-0000-0000-000021260000}"/>
    <cellStyle name="Normal 4 7 6" xfId="11127" xr:uid="{00000000-0005-0000-0000-000022260000}"/>
    <cellStyle name="Normal 4 7 6 2" xfId="11128" xr:uid="{00000000-0005-0000-0000-000023260000}"/>
    <cellStyle name="Normal 4 7 7" xfId="11129" xr:uid="{00000000-0005-0000-0000-000024260000}"/>
    <cellStyle name="Normal 4 7 7 2" xfId="11130" xr:uid="{00000000-0005-0000-0000-000025260000}"/>
    <cellStyle name="Normal 4 7 8" xfId="11131" xr:uid="{00000000-0005-0000-0000-000026260000}"/>
    <cellStyle name="Normal 4 7 9" xfId="11132" xr:uid="{00000000-0005-0000-0000-000027260000}"/>
    <cellStyle name="Normal 4 8" xfId="1705" xr:uid="{00000000-0005-0000-0000-000028260000}"/>
    <cellStyle name="Normal 4 8 10" xfId="11133" xr:uid="{00000000-0005-0000-0000-000029260000}"/>
    <cellStyle name="Normal 4 8 11" xfId="11134" xr:uid="{00000000-0005-0000-0000-00002A260000}"/>
    <cellStyle name="Normal 4 8 12" xfId="11135" xr:uid="{00000000-0005-0000-0000-00002B260000}"/>
    <cellStyle name="Normal 4 8 2" xfId="1706" xr:uid="{00000000-0005-0000-0000-00002C260000}"/>
    <cellStyle name="Normal 4 8 2 2" xfId="11136" xr:uid="{00000000-0005-0000-0000-00002D260000}"/>
    <cellStyle name="Normal 4 8 2 2 2" xfId="11137" xr:uid="{00000000-0005-0000-0000-00002E260000}"/>
    <cellStyle name="Normal 4 8 2 3" xfId="11138" xr:uid="{00000000-0005-0000-0000-00002F260000}"/>
    <cellStyle name="Normal 4 8 2 4" xfId="11139" xr:uid="{00000000-0005-0000-0000-000030260000}"/>
    <cellStyle name="Normal 4 8 2 5" xfId="11140" xr:uid="{00000000-0005-0000-0000-000031260000}"/>
    <cellStyle name="Normal 4 8 3" xfId="11141" xr:uid="{00000000-0005-0000-0000-000032260000}"/>
    <cellStyle name="Normal 4 8 3 2" xfId="11142" xr:uid="{00000000-0005-0000-0000-000033260000}"/>
    <cellStyle name="Normal 4 8 3 2 2" xfId="11143" xr:uid="{00000000-0005-0000-0000-000034260000}"/>
    <cellStyle name="Normal 4 8 3 2 3" xfId="11144" xr:uid="{00000000-0005-0000-0000-000035260000}"/>
    <cellStyle name="Normal 4 8 3 3" xfId="11145" xr:uid="{00000000-0005-0000-0000-000036260000}"/>
    <cellStyle name="Normal 4 8 3 3 2" xfId="11146" xr:uid="{00000000-0005-0000-0000-000037260000}"/>
    <cellStyle name="Normal 4 8 3 4" xfId="11147" xr:uid="{00000000-0005-0000-0000-000038260000}"/>
    <cellStyle name="Normal 4 8 3 5" xfId="11148" xr:uid="{00000000-0005-0000-0000-000039260000}"/>
    <cellStyle name="Normal 4 8 3 6" xfId="11149" xr:uid="{00000000-0005-0000-0000-00003A260000}"/>
    <cellStyle name="Normal 4 8 3 7" xfId="11150" xr:uid="{00000000-0005-0000-0000-00003B260000}"/>
    <cellStyle name="Normal 4 8 3 8" xfId="11151" xr:uid="{00000000-0005-0000-0000-00003C260000}"/>
    <cellStyle name="Normal 4 8 4" xfId="11152" xr:uid="{00000000-0005-0000-0000-00003D260000}"/>
    <cellStyle name="Normal 4 8 4 2" xfId="11153" xr:uid="{00000000-0005-0000-0000-00003E260000}"/>
    <cellStyle name="Normal 4 8 4 3" xfId="11154" xr:uid="{00000000-0005-0000-0000-00003F260000}"/>
    <cellStyle name="Normal 4 8 5" xfId="11155" xr:uid="{00000000-0005-0000-0000-000040260000}"/>
    <cellStyle name="Normal 4 8 5 2" xfId="11156" xr:uid="{00000000-0005-0000-0000-000041260000}"/>
    <cellStyle name="Normal 4 8 6" xfId="11157" xr:uid="{00000000-0005-0000-0000-000042260000}"/>
    <cellStyle name="Normal 4 8 6 2" xfId="11158" xr:uid="{00000000-0005-0000-0000-000043260000}"/>
    <cellStyle name="Normal 4 8 7" xfId="11159" xr:uid="{00000000-0005-0000-0000-000044260000}"/>
    <cellStyle name="Normal 4 8 8" xfId="11160" xr:uid="{00000000-0005-0000-0000-000045260000}"/>
    <cellStyle name="Normal 4 8 9" xfId="11161" xr:uid="{00000000-0005-0000-0000-000046260000}"/>
    <cellStyle name="Normal 4 9" xfId="1707" xr:uid="{00000000-0005-0000-0000-000047260000}"/>
    <cellStyle name="Normal 4 9 2" xfId="11162" xr:uid="{00000000-0005-0000-0000-000048260000}"/>
    <cellStyle name="Normal 4 9 2 2" xfId="11163" xr:uid="{00000000-0005-0000-0000-000049260000}"/>
    <cellStyle name="Normal 4 9 3" xfId="11164" xr:uid="{00000000-0005-0000-0000-00004A260000}"/>
    <cellStyle name="Normal 4 9 4" xfId="11165" xr:uid="{00000000-0005-0000-0000-00004B260000}"/>
    <cellStyle name="Normal 4 9 5" xfId="11166" xr:uid="{00000000-0005-0000-0000-00004C260000}"/>
    <cellStyle name="Normal 4 9 6" xfId="11167" xr:uid="{00000000-0005-0000-0000-00004D260000}"/>
    <cellStyle name="Normal 4_12-10 Form 1 Filing and supporting papers-Nivision Revised" xfId="11168" xr:uid="{00000000-0005-0000-0000-00004E260000}"/>
    <cellStyle name="Normal 40" xfId="11169" xr:uid="{00000000-0005-0000-0000-00004F260000}"/>
    <cellStyle name="Normal 40 2" xfId="11170" xr:uid="{00000000-0005-0000-0000-000050260000}"/>
    <cellStyle name="Normal 40 2 2" xfId="11171" xr:uid="{00000000-0005-0000-0000-000051260000}"/>
    <cellStyle name="Normal 40 3" xfId="11172" xr:uid="{00000000-0005-0000-0000-000052260000}"/>
    <cellStyle name="Normal 40 3 2" xfId="11173" xr:uid="{00000000-0005-0000-0000-000053260000}"/>
    <cellStyle name="Normal 40 4" xfId="11174" xr:uid="{00000000-0005-0000-0000-000054260000}"/>
    <cellStyle name="Normal 40 5" xfId="11175" xr:uid="{00000000-0005-0000-0000-000055260000}"/>
    <cellStyle name="Normal 41" xfId="11176" xr:uid="{00000000-0005-0000-0000-000056260000}"/>
    <cellStyle name="Normal 41 2" xfId="11177" xr:uid="{00000000-0005-0000-0000-000057260000}"/>
    <cellStyle name="Normal 41 2 2" xfId="11178" xr:uid="{00000000-0005-0000-0000-000058260000}"/>
    <cellStyle name="Normal 41 3" xfId="11179" xr:uid="{00000000-0005-0000-0000-000059260000}"/>
    <cellStyle name="Normal 41 4" xfId="11180" xr:uid="{00000000-0005-0000-0000-00005A260000}"/>
    <cellStyle name="Normal 42" xfId="11181" xr:uid="{00000000-0005-0000-0000-00005B260000}"/>
    <cellStyle name="Normal 42 2" xfId="11182" xr:uid="{00000000-0005-0000-0000-00005C260000}"/>
    <cellStyle name="Normal 42 3" xfId="11183" xr:uid="{00000000-0005-0000-0000-00005D260000}"/>
    <cellStyle name="Normal 43" xfId="11184" xr:uid="{00000000-0005-0000-0000-00005E260000}"/>
    <cellStyle name="Normal 43 2" xfId="11185" xr:uid="{00000000-0005-0000-0000-00005F260000}"/>
    <cellStyle name="Normal 43 2 2" xfId="11186" xr:uid="{00000000-0005-0000-0000-000060260000}"/>
    <cellStyle name="Normal 43 2 3" xfId="11187" xr:uid="{00000000-0005-0000-0000-000061260000}"/>
    <cellStyle name="Normal 43 3" xfId="11188" xr:uid="{00000000-0005-0000-0000-000062260000}"/>
    <cellStyle name="Normal 44" xfId="3224" xr:uid="{00000000-0005-0000-0000-000063260000}"/>
    <cellStyle name="Normal 44 2" xfId="11189" xr:uid="{00000000-0005-0000-0000-000064260000}"/>
    <cellStyle name="Normal 44 2 2" xfId="11190" xr:uid="{00000000-0005-0000-0000-000065260000}"/>
    <cellStyle name="Normal 44 2 3" xfId="11191" xr:uid="{00000000-0005-0000-0000-000066260000}"/>
    <cellStyle name="Normal 44 3" xfId="11192" xr:uid="{00000000-0005-0000-0000-000067260000}"/>
    <cellStyle name="Normal 44 3 2" xfId="11193" xr:uid="{00000000-0005-0000-0000-000068260000}"/>
    <cellStyle name="Normal 44 3 2 2" xfId="11194" xr:uid="{00000000-0005-0000-0000-000069260000}"/>
    <cellStyle name="Normal 44 4" xfId="11195" xr:uid="{00000000-0005-0000-0000-00006A260000}"/>
    <cellStyle name="Normal 45" xfId="11196" xr:uid="{00000000-0005-0000-0000-00006B260000}"/>
    <cellStyle name="Normal 45 2" xfId="11197" xr:uid="{00000000-0005-0000-0000-00006C260000}"/>
    <cellStyle name="Normal 45 2 2" xfId="11198" xr:uid="{00000000-0005-0000-0000-00006D260000}"/>
    <cellStyle name="Normal 45 2 2 2" xfId="11199" xr:uid="{00000000-0005-0000-0000-00006E260000}"/>
    <cellStyle name="Normal 45 2 3" xfId="11200" xr:uid="{00000000-0005-0000-0000-00006F260000}"/>
    <cellStyle name="Normal 45 2 4" xfId="11201" xr:uid="{00000000-0005-0000-0000-000070260000}"/>
    <cellStyle name="Normal 45 3" xfId="11202" xr:uid="{00000000-0005-0000-0000-000071260000}"/>
    <cellStyle name="Normal 45 4" xfId="11203" xr:uid="{00000000-0005-0000-0000-000072260000}"/>
    <cellStyle name="Normal 46" xfId="11204" xr:uid="{00000000-0005-0000-0000-000073260000}"/>
    <cellStyle name="Normal 46 2" xfId="11205" xr:uid="{00000000-0005-0000-0000-000074260000}"/>
    <cellStyle name="Normal 46 2 2" xfId="11206" xr:uid="{00000000-0005-0000-0000-000075260000}"/>
    <cellStyle name="Normal 46 2 2 2" xfId="11207" xr:uid="{00000000-0005-0000-0000-000076260000}"/>
    <cellStyle name="Normal 46 2 3" xfId="11208" xr:uid="{00000000-0005-0000-0000-000077260000}"/>
    <cellStyle name="Normal 46 3" xfId="11209" xr:uid="{00000000-0005-0000-0000-000078260000}"/>
    <cellStyle name="Normal 46 4" xfId="11210" xr:uid="{00000000-0005-0000-0000-000079260000}"/>
    <cellStyle name="Normal 47" xfId="11211" xr:uid="{00000000-0005-0000-0000-00007A260000}"/>
    <cellStyle name="Normal 47 2" xfId="11212" xr:uid="{00000000-0005-0000-0000-00007B260000}"/>
    <cellStyle name="Normal 47 2 2" xfId="11213" xr:uid="{00000000-0005-0000-0000-00007C260000}"/>
    <cellStyle name="Normal 47 2 2 2" xfId="11214" xr:uid="{00000000-0005-0000-0000-00007D260000}"/>
    <cellStyle name="Normal 47 2 3" xfId="11215" xr:uid="{00000000-0005-0000-0000-00007E260000}"/>
    <cellStyle name="Normal 47 3" xfId="11216" xr:uid="{00000000-0005-0000-0000-00007F260000}"/>
    <cellStyle name="Normal 47 4" xfId="11217" xr:uid="{00000000-0005-0000-0000-000080260000}"/>
    <cellStyle name="Normal 48" xfId="11218" xr:uid="{00000000-0005-0000-0000-000081260000}"/>
    <cellStyle name="Normal 48 2" xfId="11219" xr:uid="{00000000-0005-0000-0000-000082260000}"/>
    <cellStyle name="Normal 48 2 2" xfId="11220" xr:uid="{00000000-0005-0000-0000-000083260000}"/>
    <cellStyle name="Normal 49" xfId="11221" xr:uid="{00000000-0005-0000-0000-000084260000}"/>
    <cellStyle name="Normal 5" xfId="1708" xr:uid="{00000000-0005-0000-0000-000085260000}"/>
    <cellStyle name="Normal 5 10" xfId="11222" xr:uid="{00000000-0005-0000-0000-000086260000}"/>
    <cellStyle name="Normal 5 11" xfId="11223" xr:uid="{00000000-0005-0000-0000-000087260000}"/>
    <cellStyle name="Normal 5 12" xfId="36" xr:uid="{00000000-0005-0000-0000-000088260000}"/>
    <cellStyle name="Normal 5 2" xfId="1709" xr:uid="{00000000-0005-0000-0000-000089260000}"/>
    <cellStyle name="Normal 5 2 2" xfId="1710" xr:uid="{00000000-0005-0000-0000-00008A260000}"/>
    <cellStyle name="Normal 5 2 2 2" xfId="1711" xr:uid="{00000000-0005-0000-0000-00008B260000}"/>
    <cellStyle name="Normal 5 2 2 2 2" xfId="1712" xr:uid="{00000000-0005-0000-0000-00008C260000}"/>
    <cellStyle name="Normal 5 2 2 2 2 2" xfId="1713" xr:uid="{00000000-0005-0000-0000-00008D260000}"/>
    <cellStyle name="Normal 5 2 2 2 2 2 2" xfId="1714" xr:uid="{00000000-0005-0000-0000-00008E260000}"/>
    <cellStyle name="Normal 5 2 2 2 2 2 2 2" xfId="1715" xr:uid="{00000000-0005-0000-0000-00008F260000}"/>
    <cellStyle name="Normal 5 2 2 2 2 2 2 2 2" xfId="1716" xr:uid="{00000000-0005-0000-0000-000090260000}"/>
    <cellStyle name="Normal 5 2 2 2 2 2 2 3" xfId="1717" xr:uid="{00000000-0005-0000-0000-000091260000}"/>
    <cellStyle name="Normal 5 2 2 2 2 2 3" xfId="1718" xr:uid="{00000000-0005-0000-0000-000092260000}"/>
    <cellStyle name="Normal 5 2 2 2 2 2 3 2" xfId="1719" xr:uid="{00000000-0005-0000-0000-000093260000}"/>
    <cellStyle name="Normal 5 2 2 2 2 2 4" xfId="1720" xr:uid="{00000000-0005-0000-0000-000094260000}"/>
    <cellStyle name="Normal 5 2 2 2 2 3" xfId="1721" xr:uid="{00000000-0005-0000-0000-000095260000}"/>
    <cellStyle name="Normal 5 2 2 2 2 3 2" xfId="1722" xr:uid="{00000000-0005-0000-0000-000096260000}"/>
    <cellStyle name="Normal 5 2 2 2 2 3 2 2" xfId="1723" xr:uid="{00000000-0005-0000-0000-000097260000}"/>
    <cellStyle name="Normal 5 2 2 2 2 3 3" xfId="1724" xr:uid="{00000000-0005-0000-0000-000098260000}"/>
    <cellStyle name="Normal 5 2 2 2 2 4" xfId="1725" xr:uid="{00000000-0005-0000-0000-000099260000}"/>
    <cellStyle name="Normal 5 2 2 2 2 4 2" xfId="1726" xr:uid="{00000000-0005-0000-0000-00009A260000}"/>
    <cellStyle name="Normal 5 2 2 2 2 5" xfId="1727" xr:uid="{00000000-0005-0000-0000-00009B260000}"/>
    <cellStyle name="Normal 5 2 2 2 3" xfId="1728" xr:uid="{00000000-0005-0000-0000-00009C260000}"/>
    <cellStyle name="Normal 5 2 2 2 3 2" xfId="1729" xr:uid="{00000000-0005-0000-0000-00009D260000}"/>
    <cellStyle name="Normal 5 2 2 2 3 2 2" xfId="1730" xr:uid="{00000000-0005-0000-0000-00009E260000}"/>
    <cellStyle name="Normal 5 2 2 2 3 2 2 2" xfId="1731" xr:uid="{00000000-0005-0000-0000-00009F260000}"/>
    <cellStyle name="Normal 5 2 2 2 3 2 3" xfId="1732" xr:uid="{00000000-0005-0000-0000-0000A0260000}"/>
    <cellStyle name="Normal 5 2 2 2 3 3" xfId="1733" xr:uid="{00000000-0005-0000-0000-0000A1260000}"/>
    <cellStyle name="Normal 5 2 2 2 3 3 2" xfId="1734" xr:uid="{00000000-0005-0000-0000-0000A2260000}"/>
    <cellStyle name="Normal 5 2 2 2 3 4" xfId="1735" xr:uid="{00000000-0005-0000-0000-0000A3260000}"/>
    <cellStyle name="Normal 5 2 2 2 4" xfId="1736" xr:uid="{00000000-0005-0000-0000-0000A4260000}"/>
    <cellStyle name="Normal 5 2 2 2 4 2" xfId="1737" xr:uid="{00000000-0005-0000-0000-0000A5260000}"/>
    <cellStyle name="Normal 5 2 2 2 4 2 2" xfId="1738" xr:uid="{00000000-0005-0000-0000-0000A6260000}"/>
    <cellStyle name="Normal 5 2 2 2 4 3" xfId="1739" xr:uid="{00000000-0005-0000-0000-0000A7260000}"/>
    <cellStyle name="Normal 5 2 2 2 5" xfId="1740" xr:uid="{00000000-0005-0000-0000-0000A8260000}"/>
    <cellStyle name="Normal 5 2 2 2 5 2" xfId="1741" xr:uid="{00000000-0005-0000-0000-0000A9260000}"/>
    <cellStyle name="Normal 5 2 2 2 6" xfId="1742" xr:uid="{00000000-0005-0000-0000-0000AA260000}"/>
    <cellStyle name="Normal 5 2 2 3" xfId="1743" xr:uid="{00000000-0005-0000-0000-0000AB260000}"/>
    <cellStyle name="Normal 5 2 2 3 2" xfId="1744" xr:uid="{00000000-0005-0000-0000-0000AC260000}"/>
    <cellStyle name="Normal 5 2 2 3 2 2" xfId="1745" xr:uid="{00000000-0005-0000-0000-0000AD260000}"/>
    <cellStyle name="Normal 5 2 2 3 2 2 2" xfId="1746" xr:uid="{00000000-0005-0000-0000-0000AE260000}"/>
    <cellStyle name="Normal 5 2 2 3 2 2 2 2" xfId="1747" xr:uid="{00000000-0005-0000-0000-0000AF260000}"/>
    <cellStyle name="Normal 5 2 2 3 2 2 3" xfId="1748" xr:uid="{00000000-0005-0000-0000-0000B0260000}"/>
    <cellStyle name="Normal 5 2 2 3 2 3" xfId="1749" xr:uid="{00000000-0005-0000-0000-0000B1260000}"/>
    <cellStyle name="Normal 5 2 2 3 2 3 2" xfId="1750" xr:uid="{00000000-0005-0000-0000-0000B2260000}"/>
    <cellStyle name="Normal 5 2 2 3 2 4" xfId="1751" xr:uid="{00000000-0005-0000-0000-0000B3260000}"/>
    <cellStyle name="Normal 5 2 2 3 3" xfId="1752" xr:uid="{00000000-0005-0000-0000-0000B4260000}"/>
    <cellStyle name="Normal 5 2 2 3 3 2" xfId="1753" xr:uid="{00000000-0005-0000-0000-0000B5260000}"/>
    <cellStyle name="Normal 5 2 2 3 3 2 2" xfId="1754" xr:uid="{00000000-0005-0000-0000-0000B6260000}"/>
    <cellStyle name="Normal 5 2 2 3 3 3" xfId="1755" xr:uid="{00000000-0005-0000-0000-0000B7260000}"/>
    <cellStyle name="Normal 5 2 2 3 4" xfId="1756" xr:uid="{00000000-0005-0000-0000-0000B8260000}"/>
    <cellStyle name="Normal 5 2 2 3 4 2" xfId="1757" xr:uid="{00000000-0005-0000-0000-0000B9260000}"/>
    <cellStyle name="Normal 5 2 2 3 5" xfId="1758" xr:uid="{00000000-0005-0000-0000-0000BA260000}"/>
    <cellStyle name="Normal 5 2 2 4" xfId="1759" xr:uid="{00000000-0005-0000-0000-0000BB260000}"/>
    <cellStyle name="Normal 5 2 2 4 2" xfId="1760" xr:uid="{00000000-0005-0000-0000-0000BC260000}"/>
    <cellStyle name="Normal 5 2 2 4 2 2" xfId="1761" xr:uid="{00000000-0005-0000-0000-0000BD260000}"/>
    <cellStyle name="Normal 5 2 2 4 2 2 2" xfId="1762" xr:uid="{00000000-0005-0000-0000-0000BE260000}"/>
    <cellStyle name="Normal 5 2 2 4 2 3" xfId="1763" xr:uid="{00000000-0005-0000-0000-0000BF260000}"/>
    <cellStyle name="Normal 5 2 2 4 3" xfId="1764" xr:uid="{00000000-0005-0000-0000-0000C0260000}"/>
    <cellStyle name="Normal 5 2 2 4 3 2" xfId="1765" xr:uid="{00000000-0005-0000-0000-0000C1260000}"/>
    <cellStyle name="Normal 5 2 2 4 4" xfId="1766" xr:uid="{00000000-0005-0000-0000-0000C2260000}"/>
    <cellStyle name="Normal 5 2 2 5" xfId="1767" xr:uid="{00000000-0005-0000-0000-0000C3260000}"/>
    <cellStyle name="Normal 5 2 2 5 2" xfId="1768" xr:uid="{00000000-0005-0000-0000-0000C4260000}"/>
    <cellStyle name="Normal 5 2 2 5 2 2" xfId="1769" xr:uid="{00000000-0005-0000-0000-0000C5260000}"/>
    <cellStyle name="Normal 5 2 2 5 3" xfId="1770" xr:uid="{00000000-0005-0000-0000-0000C6260000}"/>
    <cellStyle name="Normal 5 2 2 6" xfId="1771" xr:uid="{00000000-0005-0000-0000-0000C7260000}"/>
    <cellStyle name="Normal 5 2 2 6 2" xfId="1772" xr:uid="{00000000-0005-0000-0000-0000C8260000}"/>
    <cellStyle name="Normal 5 2 2 7" xfId="1773" xr:uid="{00000000-0005-0000-0000-0000C9260000}"/>
    <cellStyle name="Normal 5 2 3" xfId="1774" xr:uid="{00000000-0005-0000-0000-0000CA260000}"/>
    <cellStyle name="Normal 5 2 3 2" xfId="1775" xr:uid="{00000000-0005-0000-0000-0000CB260000}"/>
    <cellStyle name="Normal 5 2 3 2 2" xfId="1776" xr:uid="{00000000-0005-0000-0000-0000CC260000}"/>
    <cellStyle name="Normal 5 2 3 2 2 2" xfId="1777" xr:uid="{00000000-0005-0000-0000-0000CD260000}"/>
    <cellStyle name="Normal 5 2 3 2 2 2 2" xfId="1778" xr:uid="{00000000-0005-0000-0000-0000CE260000}"/>
    <cellStyle name="Normal 5 2 3 2 2 2 2 2" xfId="1779" xr:uid="{00000000-0005-0000-0000-0000CF260000}"/>
    <cellStyle name="Normal 5 2 3 2 2 2 3" xfId="1780" xr:uid="{00000000-0005-0000-0000-0000D0260000}"/>
    <cellStyle name="Normal 5 2 3 2 2 3" xfId="1781" xr:uid="{00000000-0005-0000-0000-0000D1260000}"/>
    <cellStyle name="Normal 5 2 3 2 2 3 2" xfId="1782" xr:uid="{00000000-0005-0000-0000-0000D2260000}"/>
    <cellStyle name="Normal 5 2 3 2 2 4" xfId="1783" xr:uid="{00000000-0005-0000-0000-0000D3260000}"/>
    <cellStyle name="Normal 5 2 3 2 3" xfId="1784" xr:uid="{00000000-0005-0000-0000-0000D4260000}"/>
    <cellStyle name="Normal 5 2 3 2 3 2" xfId="1785" xr:uid="{00000000-0005-0000-0000-0000D5260000}"/>
    <cellStyle name="Normal 5 2 3 2 3 2 2" xfId="1786" xr:uid="{00000000-0005-0000-0000-0000D6260000}"/>
    <cellStyle name="Normal 5 2 3 2 3 3" xfId="1787" xr:uid="{00000000-0005-0000-0000-0000D7260000}"/>
    <cellStyle name="Normal 5 2 3 2 4" xfId="1788" xr:uid="{00000000-0005-0000-0000-0000D8260000}"/>
    <cellStyle name="Normal 5 2 3 2 4 2" xfId="1789" xr:uid="{00000000-0005-0000-0000-0000D9260000}"/>
    <cellStyle name="Normal 5 2 3 2 5" xfId="1790" xr:uid="{00000000-0005-0000-0000-0000DA260000}"/>
    <cellStyle name="Normal 5 2 3 3" xfId="1791" xr:uid="{00000000-0005-0000-0000-0000DB260000}"/>
    <cellStyle name="Normal 5 2 3 3 2" xfId="1792" xr:uid="{00000000-0005-0000-0000-0000DC260000}"/>
    <cellStyle name="Normal 5 2 3 3 2 2" xfId="1793" xr:uid="{00000000-0005-0000-0000-0000DD260000}"/>
    <cellStyle name="Normal 5 2 3 3 2 2 2" xfId="1794" xr:uid="{00000000-0005-0000-0000-0000DE260000}"/>
    <cellStyle name="Normal 5 2 3 3 2 3" xfId="1795" xr:uid="{00000000-0005-0000-0000-0000DF260000}"/>
    <cellStyle name="Normal 5 2 3 3 3" xfId="1796" xr:uid="{00000000-0005-0000-0000-0000E0260000}"/>
    <cellStyle name="Normal 5 2 3 3 3 2" xfId="1797" xr:uid="{00000000-0005-0000-0000-0000E1260000}"/>
    <cellStyle name="Normal 5 2 3 3 4" xfId="1798" xr:uid="{00000000-0005-0000-0000-0000E2260000}"/>
    <cellStyle name="Normal 5 2 3 4" xfId="1799" xr:uid="{00000000-0005-0000-0000-0000E3260000}"/>
    <cellStyle name="Normal 5 2 3 4 2" xfId="1800" xr:uid="{00000000-0005-0000-0000-0000E4260000}"/>
    <cellStyle name="Normal 5 2 3 4 2 2" xfId="1801" xr:uid="{00000000-0005-0000-0000-0000E5260000}"/>
    <cellStyle name="Normal 5 2 3 4 3" xfId="1802" xr:uid="{00000000-0005-0000-0000-0000E6260000}"/>
    <cellStyle name="Normal 5 2 3 5" xfId="1803" xr:uid="{00000000-0005-0000-0000-0000E7260000}"/>
    <cellStyle name="Normal 5 2 3 5 2" xfId="1804" xr:uid="{00000000-0005-0000-0000-0000E8260000}"/>
    <cellStyle name="Normal 5 2 3 6" xfId="1805" xr:uid="{00000000-0005-0000-0000-0000E9260000}"/>
    <cellStyle name="Normal 5 2 4" xfId="1806" xr:uid="{00000000-0005-0000-0000-0000EA260000}"/>
    <cellStyle name="Normal 5 2 4 2" xfId="1807" xr:uid="{00000000-0005-0000-0000-0000EB260000}"/>
    <cellStyle name="Normal 5 2 4 2 2" xfId="1808" xr:uid="{00000000-0005-0000-0000-0000EC260000}"/>
    <cellStyle name="Normal 5 2 4 2 2 2" xfId="1809" xr:uid="{00000000-0005-0000-0000-0000ED260000}"/>
    <cellStyle name="Normal 5 2 4 2 2 2 2" xfId="1810" xr:uid="{00000000-0005-0000-0000-0000EE260000}"/>
    <cellStyle name="Normal 5 2 4 2 2 3" xfId="1811" xr:uid="{00000000-0005-0000-0000-0000EF260000}"/>
    <cellStyle name="Normal 5 2 4 2 3" xfId="1812" xr:uid="{00000000-0005-0000-0000-0000F0260000}"/>
    <cellStyle name="Normal 5 2 4 2 3 2" xfId="1813" xr:uid="{00000000-0005-0000-0000-0000F1260000}"/>
    <cellStyle name="Normal 5 2 4 2 4" xfId="1814" xr:uid="{00000000-0005-0000-0000-0000F2260000}"/>
    <cellStyle name="Normal 5 2 4 3" xfId="1815" xr:uid="{00000000-0005-0000-0000-0000F3260000}"/>
    <cellStyle name="Normal 5 2 4 3 2" xfId="1816" xr:uid="{00000000-0005-0000-0000-0000F4260000}"/>
    <cellStyle name="Normal 5 2 4 3 2 2" xfId="1817" xr:uid="{00000000-0005-0000-0000-0000F5260000}"/>
    <cellStyle name="Normal 5 2 4 3 3" xfId="1818" xr:uid="{00000000-0005-0000-0000-0000F6260000}"/>
    <cellStyle name="Normal 5 2 4 4" xfId="1819" xr:uid="{00000000-0005-0000-0000-0000F7260000}"/>
    <cellStyle name="Normal 5 2 4 4 2" xfId="1820" xr:uid="{00000000-0005-0000-0000-0000F8260000}"/>
    <cellStyle name="Normal 5 2 4 5" xfId="1821" xr:uid="{00000000-0005-0000-0000-0000F9260000}"/>
    <cellStyle name="Normal 5 2 5" xfId="1822" xr:uid="{00000000-0005-0000-0000-0000FA260000}"/>
    <cellStyle name="Normal 5 2 5 2" xfId="1823" xr:uid="{00000000-0005-0000-0000-0000FB260000}"/>
    <cellStyle name="Normal 5 2 5 2 2" xfId="1824" xr:uid="{00000000-0005-0000-0000-0000FC260000}"/>
    <cellStyle name="Normal 5 2 5 2 2 2" xfId="1825" xr:uid="{00000000-0005-0000-0000-0000FD260000}"/>
    <cellStyle name="Normal 5 2 5 2 3" xfId="1826" xr:uid="{00000000-0005-0000-0000-0000FE260000}"/>
    <cellStyle name="Normal 5 2 5 3" xfId="1827" xr:uid="{00000000-0005-0000-0000-0000FF260000}"/>
    <cellStyle name="Normal 5 2 5 3 2" xfId="1828" xr:uid="{00000000-0005-0000-0000-000000270000}"/>
    <cellStyle name="Normal 5 2 5 4" xfId="1829" xr:uid="{00000000-0005-0000-0000-000001270000}"/>
    <cellStyle name="Normal 5 2 6" xfId="1830" xr:uid="{00000000-0005-0000-0000-000002270000}"/>
    <cellStyle name="Normal 5 2 6 2" xfId="1831" xr:uid="{00000000-0005-0000-0000-000003270000}"/>
    <cellStyle name="Normal 5 2 6 2 2" xfId="1832" xr:uid="{00000000-0005-0000-0000-000004270000}"/>
    <cellStyle name="Normal 5 2 6 3" xfId="1833" xr:uid="{00000000-0005-0000-0000-000005270000}"/>
    <cellStyle name="Normal 5 2 7" xfId="1834" xr:uid="{00000000-0005-0000-0000-000006270000}"/>
    <cellStyle name="Normal 5 2 7 2" xfId="1835" xr:uid="{00000000-0005-0000-0000-000007270000}"/>
    <cellStyle name="Normal 5 2 8" xfId="1836" xr:uid="{00000000-0005-0000-0000-000008270000}"/>
    <cellStyle name="Normal 5 3" xfId="1837" xr:uid="{00000000-0005-0000-0000-000009270000}"/>
    <cellStyle name="Normal 5 3 2" xfId="1838" xr:uid="{00000000-0005-0000-0000-00000A270000}"/>
    <cellStyle name="Normal 5 3 2 2" xfId="1839" xr:uid="{00000000-0005-0000-0000-00000B270000}"/>
    <cellStyle name="Normal 5 3 2 2 2" xfId="1840" xr:uid="{00000000-0005-0000-0000-00000C270000}"/>
    <cellStyle name="Normal 5 3 2 2 2 2" xfId="1841" xr:uid="{00000000-0005-0000-0000-00000D270000}"/>
    <cellStyle name="Normal 5 3 2 2 2 2 2" xfId="1842" xr:uid="{00000000-0005-0000-0000-00000E270000}"/>
    <cellStyle name="Normal 5 3 2 2 2 2 2 2" xfId="1843" xr:uid="{00000000-0005-0000-0000-00000F270000}"/>
    <cellStyle name="Normal 5 3 2 2 2 2 3" xfId="1844" xr:uid="{00000000-0005-0000-0000-000010270000}"/>
    <cellStyle name="Normal 5 3 2 2 2 3" xfId="1845" xr:uid="{00000000-0005-0000-0000-000011270000}"/>
    <cellStyle name="Normal 5 3 2 2 2 3 2" xfId="1846" xr:uid="{00000000-0005-0000-0000-000012270000}"/>
    <cellStyle name="Normal 5 3 2 2 2 4" xfId="1847" xr:uid="{00000000-0005-0000-0000-000013270000}"/>
    <cellStyle name="Normal 5 3 2 2 3" xfId="1848" xr:uid="{00000000-0005-0000-0000-000014270000}"/>
    <cellStyle name="Normal 5 3 2 2 3 2" xfId="1849" xr:uid="{00000000-0005-0000-0000-000015270000}"/>
    <cellStyle name="Normal 5 3 2 2 3 2 2" xfId="1850" xr:uid="{00000000-0005-0000-0000-000016270000}"/>
    <cellStyle name="Normal 5 3 2 2 3 3" xfId="1851" xr:uid="{00000000-0005-0000-0000-000017270000}"/>
    <cellStyle name="Normal 5 3 2 2 4" xfId="1852" xr:uid="{00000000-0005-0000-0000-000018270000}"/>
    <cellStyle name="Normal 5 3 2 2 4 2" xfId="1853" xr:uid="{00000000-0005-0000-0000-000019270000}"/>
    <cellStyle name="Normal 5 3 2 2 5" xfId="1854" xr:uid="{00000000-0005-0000-0000-00001A270000}"/>
    <cellStyle name="Normal 5 3 2 3" xfId="1855" xr:uid="{00000000-0005-0000-0000-00001B270000}"/>
    <cellStyle name="Normal 5 3 2 3 2" xfId="1856" xr:uid="{00000000-0005-0000-0000-00001C270000}"/>
    <cellStyle name="Normal 5 3 2 3 2 2" xfId="1857" xr:uid="{00000000-0005-0000-0000-00001D270000}"/>
    <cellStyle name="Normal 5 3 2 3 2 2 2" xfId="1858" xr:uid="{00000000-0005-0000-0000-00001E270000}"/>
    <cellStyle name="Normal 5 3 2 3 2 3" xfId="1859" xr:uid="{00000000-0005-0000-0000-00001F270000}"/>
    <cellStyle name="Normal 5 3 2 3 3" xfId="1860" xr:uid="{00000000-0005-0000-0000-000020270000}"/>
    <cellStyle name="Normal 5 3 2 3 3 2" xfId="1861" xr:uid="{00000000-0005-0000-0000-000021270000}"/>
    <cellStyle name="Normal 5 3 2 3 4" xfId="1862" xr:uid="{00000000-0005-0000-0000-000022270000}"/>
    <cellStyle name="Normal 5 3 2 4" xfId="1863" xr:uid="{00000000-0005-0000-0000-000023270000}"/>
    <cellStyle name="Normal 5 3 2 4 2" xfId="1864" xr:uid="{00000000-0005-0000-0000-000024270000}"/>
    <cellStyle name="Normal 5 3 2 4 2 2" xfId="1865" xr:uid="{00000000-0005-0000-0000-000025270000}"/>
    <cellStyle name="Normal 5 3 2 4 3" xfId="1866" xr:uid="{00000000-0005-0000-0000-000026270000}"/>
    <cellStyle name="Normal 5 3 2 5" xfId="1867" xr:uid="{00000000-0005-0000-0000-000027270000}"/>
    <cellStyle name="Normal 5 3 2 5 2" xfId="1868" xr:uid="{00000000-0005-0000-0000-000028270000}"/>
    <cellStyle name="Normal 5 3 2 6" xfId="1869" xr:uid="{00000000-0005-0000-0000-000029270000}"/>
    <cellStyle name="Normal 5 3 3" xfId="1870" xr:uid="{00000000-0005-0000-0000-00002A270000}"/>
    <cellStyle name="Normal 5 3 3 2" xfId="1871" xr:uid="{00000000-0005-0000-0000-00002B270000}"/>
    <cellStyle name="Normal 5 3 3 2 2" xfId="1872" xr:uid="{00000000-0005-0000-0000-00002C270000}"/>
    <cellStyle name="Normal 5 3 3 2 2 2" xfId="1873" xr:uid="{00000000-0005-0000-0000-00002D270000}"/>
    <cellStyle name="Normal 5 3 3 2 2 2 2" xfId="1874" xr:uid="{00000000-0005-0000-0000-00002E270000}"/>
    <cellStyle name="Normal 5 3 3 2 2 3" xfId="1875" xr:uid="{00000000-0005-0000-0000-00002F270000}"/>
    <cellStyle name="Normal 5 3 3 2 3" xfId="1876" xr:uid="{00000000-0005-0000-0000-000030270000}"/>
    <cellStyle name="Normal 5 3 3 2 3 2" xfId="1877" xr:uid="{00000000-0005-0000-0000-000031270000}"/>
    <cellStyle name="Normal 5 3 3 2 4" xfId="1878" xr:uid="{00000000-0005-0000-0000-000032270000}"/>
    <cellStyle name="Normal 5 3 3 3" xfId="1879" xr:uid="{00000000-0005-0000-0000-000033270000}"/>
    <cellStyle name="Normal 5 3 3 3 2" xfId="1880" xr:uid="{00000000-0005-0000-0000-000034270000}"/>
    <cellStyle name="Normal 5 3 3 3 2 2" xfId="1881" xr:uid="{00000000-0005-0000-0000-000035270000}"/>
    <cellStyle name="Normal 5 3 3 3 3" xfId="1882" xr:uid="{00000000-0005-0000-0000-000036270000}"/>
    <cellStyle name="Normal 5 3 3 4" xfId="1883" xr:uid="{00000000-0005-0000-0000-000037270000}"/>
    <cellStyle name="Normal 5 3 3 4 2" xfId="1884" xr:uid="{00000000-0005-0000-0000-000038270000}"/>
    <cellStyle name="Normal 5 3 3 5" xfId="1885" xr:uid="{00000000-0005-0000-0000-000039270000}"/>
    <cellStyle name="Normal 5 3 4" xfId="1886" xr:uid="{00000000-0005-0000-0000-00003A270000}"/>
    <cellStyle name="Normal 5 3 4 2" xfId="1887" xr:uid="{00000000-0005-0000-0000-00003B270000}"/>
    <cellStyle name="Normal 5 3 4 2 2" xfId="1888" xr:uid="{00000000-0005-0000-0000-00003C270000}"/>
    <cellStyle name="Normal 5 3 4 2 2 2" xfId="1889" xr:uid="{00000000-0005-0000-0000-00003D270000}"/>
    <cellStyle name="Normal 5 3 4 2 3" xfId="1890" xr:uid="{00000000-0005-0000-0000-00003E270000}"/>
    <cellStyle name="Normal 5 3 4 3" xfId="1891" xr:uid="{00000000-0005-0000-0000-00003F270000}"/>
    <cellStyle name="Normal 5 3 4 3 2" xfId="1892" xr:uid="{00000000-0005-0000-0000-000040270000}"/>
    <cellStyle name="Normal 5 3 4 4" xfId="1893" xr:uid="{00000000-0005-0000-0000-000041270000}"/>
    <cellStyle name="Normal 5 3 5" xfId="1894" xr:uid="{00000000-0005-0000-0000-000042270000}"/>
    <cellStyle name="Normal 5 3 5 2" xfId="1895" xr:uid="{00000000-0005-0000-0000-000043270000}"/>
    <cellStyle name="Normal 5 3 5 2 2" xfId="1896" xr:uid="{00000000-0005-0000-0000-000044270000}"/>
    <cellStyle name="Normal 5 3 5 3" xfId="1897" xr:uid="{00000000-0005-0000-0000-000045270000}"/>
    <cellStyle name="Normal 5 3 6" xfId="1898" xr:uid="{00000000-0005-0000-0000-000046270000}"/>
    <cellStyle name="Normal 5 3 6 2" xfId="1899" xr:uid="{00000000-0005-0000-0000-000047270000}"/>
    <cellStyle name="Normal 5 3 7" xfId="1900" xr:uid="{00000000-0005-0000-0000-000048270000}"/>
    <cellStyle name="Normal 5 4" xfId="1901" xr:uid="{00000000-0005-0000-0000-000049270000}"/>
    <cellStyle name="Normal 5 4 2" xfId="1902" xr:uid="{00000000-0005-0000-0000-00004A270000}"/>
    <cellStyle name="Normal 5 4 2 2" xfId="1903" xr:uid="{00000000-0005-0000-0000-00004B270000}"/>
    <cellStyle name="Normal 5 4 2 2 2" xfId="1904" xr:uid="{00000000-0005-0000-0000-00004C270000}"/>
    <cellStyle name="Normal 5 4 2 2 2 2" xfId="1905" xr:uid="{00000000-0005-0000-0000-00004D270000}"/>
    <cellStyle name="Normal 5 4 2 2 2 2 2" xfId="1906" xr:uid="{00000000-0005-0000-0000-00004E270000}"/>
    <cellStyle name="Normal 5 4 2 2 2 3" xfId="1907" xr:uid="{00000000-0005-0000-0000-00004F270000}"/>
    <cellStyle name="Normal 5 4 2 2 3" xfId="1908" xr:uid="{00000000-0005-0000-0000-000050270000}"/>
    <cellStyle name="Normal 5 4 2 2 3 2" xfId="1909" xr:uid="{00000000-0005-0000-0000-000051270000}"/>
    <cellStyle name="Normal 5 4 2 2 4" xfId="1910" xr:uid="{00000000-0005-0000-0000-000052270000}"/>
    <cellStyle name="Normal 5 4 2 3" xfId="1911" xr:uid="{00000000-0005-0000-0000-000053270000}"/>
    <cellStyle name="Normal 5 4 2 3 2" xfId="1912" xr:uid="{00000000-0005-0000-0000-000054270000}"/>
    <cellStyle name="Normal 5 4 2 3 2 2" xfId="1913" xr:uid="{00000000-0005-0000-0000-000055270000}"/>
    <cellStyle name="Normal 5 4 2 3 3" xfId="1914" xr:uid="{00000000-0005-0000-0000-000056270000}"/>
    <cellStyle name="Normal 5 4 2 4" xfId="1915" xr:uid="{00000000-0005-0000-0000-000057270000}"/>
    <cellStyle name="Normal 5 4 2 4 2" xfId="1916" xr:uid="{00000000-0005-0000-0000-000058270000}"/>
    <cellStyle name="Normal 5 4 2 5" xfId="1917" xr:uid="{00000000-0005-0000-0000-000059270000}"/>
    <cellStyle name="Normal 5 4 3" xfId="1918" xr:uid="{00000000-0005-0000-0000-00005A270000}"/>
    <cellStyle name="Normal 5 4 3 2" xfId="1919" xr:uid="{00000000-0005-0000-0000-00005B270000}"/>
    <cellStyle name="Normal 5 4 3 2 2" xfId="1920" xr:uid="{00000000-0005-0000-0000-00005C270000}"/>
    <cellStyle name="Normal 5 4 3 2 2 2" xfId="1921" xr:uid="{00000000-0005-0000-0000-00005D270000}"/>
    <cellStyle name="Normal 5 4 3 2 3" xfId="1922" xr:uid="{00000000-0005-0000-0000-00005E270000}"/>
    <cellStyle name="Normal 5 4 3 3" xfId="1923" xr:uid="{00000000-0005-0000-0000-00005F270000}"/>
    <cellStyle name="Normal 5 4 3 3 2" xfId="1924" xr:uid="{00000000-0005-0000-0000-000060270000}"/>
    <cellStyle name="Normal 5 4 3 4" xfId="1925" xr:uid="{00000000-0005-0000-0000-000061270000}"/>
    <cellStyle name="Normal 5 4 4" xfId="1926" xr:uid="{00000000-0005-0000-0000-000062270000}"/>
    <cellStyle name="Normal 5 4 4 2" xfId="1927" xr:uid="{00000000-0005-0000-0000-000063270000}"/>
    <cellStyle name="Normal 5 4 4 2 2" xfId="1928" xr:uid="{00000000-0005-0000-0000-000064270000}"/>
    <cellStyle name="Normal 5 4 4 3" xfId="1929" xr:uid="{00000000-0005-0000-0000-000065270000}"/>
    <cellStyle name="Normal 5 4 5" xfId="1930" xr:uid="{00000000-0005-0000-0000-000066270000}"/>
    <cellStyle name="Normal 5 4 5 2" xfId="1931" xr:uid="{00000000-0005-0000-0000-000067270000}"/>
    <cellStyle name="Normal 5 4 6" xfId="1932" xr:uid="{00000000-0005-0000-0000-000068270000}"/>
    <cellStyle name="Normal 5 5" xfId="1933" xr:uid="{00000000-0005-0000-0000-000069270000}"/>
    <cellStyle name="Normal 5 5 2" xfId="1934" xr:uid="{00000000-0005-0000-0000-00006A270000}"/>
    <cellStyle name="Normal 5 5 2 2" xfId="1935" xr:uid="{00000000-0005-0000-0000-00006B270000}"/>
    <cellStyle name="Normal 5 5 2 2 2" xfId="1936" xr:uid="{00000000-0005-0000-0000-00006C270000}"/>
    <cellStyle name="Normal 5 5 2 2 2 2" xfId="1937" xr:uid="{00000000-0005-0000-0000-00006D270000}"/>
    <cellStyle name="Normal 5 5 2 2 3" xfId="1938" xr:uid="{00000000-0005-0000-0000-00006E270000}"/>
    <cellStyle name="Normal 5 5 2 3" xfId="1939" xr:uid="{00000000-0005-0000-0000-00006F270000}"/>
    <cellStyle name="Normal 5 5 2 3 2" xfId="1940" xr:uid="{00000000-0005-0000-0000-000070270000}"/>
    <cellStyle name="Normal 5 5 2 4" xfId="1941" xr:uid="{00000000-0005-0000-0000-000071270000}"/>
    <cellStyle name="Normal 5 5 3" xfId="1942" xr:uid="{00000000-0005-0000-0000-000072270000}"/>
    <cellStyle name="Normal 5 5 3 2" xfId="1943" xr:uid="{00000000-0005-0000-0000-000073270000}"/>
    <cellStyle name="Normal 5 5 3 2 2" xfId="1944" xr:uid="{00000000-0005-0000-0000-000074270000}"/>
    <cellStyle name="Normal 5 5 3 3" xfId="1945" xr:uid="{00000000-0005-0000-0000-000075270000}"/>
    <cellStyle name="Normal 5 5 4" xfId="1946" xr:uid="{00000000-0005-0000-0000-000076270000}"/>
    <cellStyle name="Normal 5 5 4 2" xfId="1947" xr:uid="{00000000-0005-0000-0000-000077270000}"/>
    <cellStyle name="Normal 5 5 5" xfId="1948" xr:uid="{00000000-0005-0000-0000-000078270000}"/>
    <cellStyle name="Normal 5 6" xfId="1949" xr:uid="{00000000-0005-0000-0000-000079270000}"/>
    <cellStyle name="Normal 5 6 2" xfId="1950" xr:uid="{00000000-0005-0000-0000-00007A270000}"/>
    <cellStyle name="Normal 5 6 2 2" xfId="1951" xr:uid="{00000000-0005-0000-0000-00007B270000}"/>
    <cellStyle name="Normal 5 6 2 2 2" xfId="1952" xr:uid="{00000000-0005-0000-0000-00007C270000}"/>
    <cellStyle name="Normal 5 6 2 3" xfId="1953" xr:uid="{00000000-0005-0000-0000-00007D270000}"/>
    <cellStyle name="Normal 5 6 3" xfId="1954" xr:uid="{00000000-0005-0000-0000-00007E270000}"/>
    <cellStyle name="Normal 5 6 3 2" xfId="1955" xr:uid="{00000000-0005-0000-0000-00007F270000}"/>
    <cellStyle name="Normal 5 6 4" xfId="1956" xr:uid="{00000000-0005-0000-0000-000080270000}"/>
    <cellStyle name="Normal 5 7" xfId="1957" xr:uid="{00000000-0005-0000-0000-000081270000}"/>
    <cellStyle name="Normal 5 7 2" xfId="1958" xr:uid="{00000000-0005-0000-0000-000082270000}"/>
    <cellStyle name="Normal 5 7 2 2" xfId="1959" xr:uid="{00000000-0005-0000-0000-000083270000}"/>
    <cellStyle name="Normal 5 7 3" xfId="1960" xr:uid="{00000000-0005-0000-0000-000084270000}"/>
    <cellStyle name="Normal 5 8" xfId="1961" xr:uid="{00000000-0005-0000-0000-000085270000}"/>
    <cellStyle name="Normal 5 8 10" xfId="11224" xr:uid="{00000000-0005-0000-0000-000086270000}"/>
    <cellStyle name="Normal 5 8 11" xfId="11225" xr:uid="{00000000-0005-0000-0000-000087270000}"/>
    <cellStyle name="Normal 5 8 12" xfId="11226" xr:uid="{00000000-0005-0000-0000-000088270000}"/>
    <cellStyle name="Normal 5 8 13" xfId="11227" xr:uid="{00000000-0005-0000-0000-000089270000}"/>
    <cellStyle name="Normal 5 8 14" xfId="11228" xr:uid="{00000000-0005-0000-0000-00008A270000}"/>
    <cellStyle name="Normal 5 8 15" xfId="11229" xr:uid="{00000000-0005-0000-0000-00008B270000}"/>
    <cellStyle name="Normal 5 8 2" xfId="1962" xr:uid="{00000000-0005-0000-0000-00008C270000}"/>
    <cellStyle name="Normal 5 8 2 10" xfId="11230" xr:uid="{00000000-0005-0000-0000-00008D270000}"/>
    <cellStyle name="Normal 5 8 2 11" xfId="11231" xr:uid="{00000000-0005-0000-0000-00008E270000}"/>
    <cellStyle name="Normal 5 8 2 12" xfId="11232" xr:uid="{00000000-0005-0000-0000-00008F270000}"/>
    <cellStyle name="Normal 5 8 2 13" xfId="11233" xr:uid="{00000000-0005-0000-0000-000090270000}"/>
    <cellStyle name="Normal 5 8 2 2" xfId="11234" xr:uid="{00000000-0005-0000-0000-000091270000}"/>
    <cellStyle name="Normal 5 8 2 2 10" xfId="11235" xr:uid="{00000000-0005-0000-0000-000092270000}"/>
    <cellStyle name="Normal 5 8 2 2 11" xfId="11236" xr:uid="{00000000-0005-0000-0000-000093270000}"/>
    <cellStyle name="Normal 5 8 2 2 12" xfId="11237" xr:uid="{00000000-0005-0000-0000-000094270000}"/>
    <cellStyle name="Normal 5 8 2 2 2" xfId="11238" xr:uid="{00000000-0005-0000-0000-000095270000}"/>
    <cellStyle name="Normal 5 8 2 2 2 10" xfId="11239" xr:uid="{00000000-0005-0000-0000-000096270000}"/>
    <cellStyle name="Normal 5 8 2 2 2 11" xfId="11240" xr:uid="{00000000-0005-0000-0000-000097270000}"/>
    <cellStyle name="Normal 5 8 2 2 2 2" xfId="11241" xr:uid="{00000000-0005-0000-0000-000098270000}"/>
    <cellStyle name="Normal 5 8 2 2 2 2 2" xfId="11242" xr:uid="{00000000-0005-0000-0000-000099270000}"/>
    <cellStyle name="Normal 5 8 2 2 2 2 2 2" xfId="11243" xr:uid="{00000000-0005-0000-0000-00009A270000}"/>
    <cellStyle name="Normal 5 8 2 2 2 2 2 3" xfId="11244" xr:uid="{00000000-0005-0000-0000-00009B270000}"/>
    <cellStyle name="Normal 5 8 2 2 2 2 3" xfId="11245" xr:uid="{00000000-0005-0000-0000-00009C270000}"/>
    <cellStyle name="Normal 5 8 2 2 2 2 3 2" xfId="11246" xr:uid="{00000000-0005-0000-0000-00009D270000}"/>
    <cellStyle name="Normal 5 8 2 2 2 2 4" xfId="11247" xr:uid="{00000000-0005-0000-0000-00009E270000}"/>
    <cellStyle name="Normal 5 8 2 2 2 2 5" xfId="11248" xr:uid="{00000000-0005-0000-0000-00009F270000}"/>
    <cellStyle name="Normal 5 8 2 2 2 2 6" xfId="11249" xr:uid="{00000000-0005-0000-0000-0000A0270000}"/>
    <cellStyle name="Normal 5 8 2 2 2 2 7" xfId="11250" xr:uid="{00000000-0005-0000-0000-0000A1270000}"/>
    <cellStyle name="Normal 5 8 2 2 2 2 8" xfId="11251" xr:uid="{00000000-0005-0000-0000-0000A2270000}"/>
    <cellStyle name="Normal 5 8 2 2 2 3" xfId="11252" xr:uid="{00000000-0005-0000-0000-0000A3270000}"/>
    <cellStyle name="Normal 5 8 2 2 2 3 2" xfId="11253" xr:uid="{00000000-0005-0000-0000-0000A4270000}"/>
    <cellStyle name="Normal 5 8 2 2 2 3 2 2" xfId="11254" xr:uid="{00000000-0005-0000-0000-0000A5270000}"/>
    <cellStyle name="Normal 5 8 2 2 2 3 3" xfId="11255" xr:uid="{00000000-0005-0000-0000-0000A6270000}"/>
    <cellStyle name="Normal 5 8 2 2 2 3 4" xfId="11256" xr:uid="{00000000-0005-0000-0000-0000A7270000}"/>
    <cellStyle name="Normal 5 8 2 2 2 4" xfId="11257" xr:uid="{00000000-0005-0000-0000-0000A8270000}"/>
    <cellStyle name="Normal 5 8 2 2 2 4 2" xfId="11258" xr:uid="{00000000-0005-0000-0000-0000A9270000}"/>
    <cellStyle name="Normal 5 8 2 2 2 5" xfId="11259" xr:uid="{00000000-0005-0000-0000-0000AA270000}"/>
    <cellStyle name="Normal 5 8 2 2 2 5 2" xfId="11260" xr:uid="{00000000-0005-0000-0000-0000AB270000}"/>
    <cellStyle name="Normal 5 8 2 2 2 6" xfId="11261" xr:uid="{00000000-0005-0000-0000-0000AC270000}"/>
    <cellStyle name="Normal 5 8 2 2 2 6 2" xfId="11262" xr:uid="{00000000-0005-0000-0000-0000AD270000}"/>
    <cellStyle name="Normal 5 8 2 2 2 7" xfId="11263" xr:uid="{00000000-0005-0000-0000-0000AE270000}"/>
    <cellStyle name="Normal 5 8 2 2 2 8" xfId="11264" xr:uid="{00000000-0005-0000-0000-0000AF270000}"/>
    <cellStyle name="Normal 5 8 2 2 2 9" xfId="11265" xr:uid="{00000000-0005-0000-0000-0000B0270000}"/>
    <cellStyle name="Normal 5 8 2 2 3" xfId="11266" xr:uid="{00000000-0005-0000-0000-0000B1270000}"/>
    <cellStyle name="Normal 5 8 2 2 3 2" xfId="11267" xr:uid="{00000000-0005-0000-0000-0000B2270000}"/>
    <cellStyle name="Normal 5 8 2 2 3 2 2" xfId="11268" xr:uid="{00000000-0005-0000-0000-0000B3270000}"/>
    <cellStyle name="Normal 5 8 2 2 3 2 3" xfId="11269" xr:uid="{00000000-0005-0000-0000-0000B4270000}"/>
    <cellStyle name="Normal 5 8 2 2 3 3" xfId="11270" xr:uid="{00000000-0005-0000-0000-0000B5270000}"/>
    <cellStyle name="Normal 5 8 2 2 3 3 2" xfId="11271" xr:uid="{00000000-0005-0000-0000-0000B6270000}"/>
    <cellStyle name="Normal 5 8 2 2 3 4" xfId="11272" xr:uid="{00000000-0005-0000-0000-0000B7270000}"/>
    <cellStyle name="Normal 5 8 2 2 3 5" xfId="11273" xr:uid="{00000000-0005-0000-0000-0000B8270000}"/>
    <cellStyle name="Normal 5 8 2 2 3 6" xfId="11274" xr:uid="{00000000-0005-0000-0000-0000B9270000}"/>
    <cellStyle name="Normal 5 8 2 2 3 7" xfId="11275" xr:uid="{00000000-0005-0000-0000-0000BA270000}"/>
    <cellStyle name="Normal 5 8 2 2 3 8" xfId="11276" xr:uid="{00000000-0005-0000-0000-0000BB270000}"/>
    <cellStyle name="Normal 5 8 2 2 4" xfId="11277" xr:uid="{00000000-0005-0000-0000-0000BC270000}"/>
    <cellStyle name="Normal 5 8 2 2 4 2" xfId="11278" xr:uid="{00000000-0005-0000-0000-0000BD270000}"/>
    <cellStyle name="Normal 5 8 2 2 4 2 2" xfId="11279" xr:uid="{00000000-0005-0000-0000-0000BE270000}"/>
    <cellStyle name="Normal 5 8 2 2 4 3" xfId="11280" xr:uid="{00000000-0005-0000-0000-0000BF270000}"/>
    <cellStyle name="Normal 5 8 2 2 4 4" xfId="11281" xr:uid="{00000000-0005-0000-0000-0000C0270000}"/>
    <cellStyle name="Normal 5 8 2 2 5" xfId="11282" xr:uid="{00000000-0005-0000-0000-0000C1270000}"/>
    <cellStyle name="Normal 5 8 2 2 5 2" xfId="11283" xr:uid="{00000000-0005-0000-0000-0000C2270000}"/>
    <cellStyle name="Normal 5 8 2 2 6" xfId="11284" xr:uid="{00000000-0005-0000-0000-0000C3270000}"/>
    <cellStyle name="Normal 5 8 2 2 6 2" xfId="11285" xr:uid="{00000000-0005-0000-0000-0000C4270000}"/>
    <cellStyle name="Normal 5 8 2 2 7" xfId="11286" xr:uid="{00000000-0005-0000-0000-0000C5270000}"/>
    <cellStyle name="Normal 5 8 2 2 7 2" xfId="11287" xr:uid="{00000000-0005-0000-0000-0000C6270000}"/>
    <cellStyle name="Normal 5 8 2 2 8" xfId="11288" xr:uid="{00000000-0005-0000-0000-0000C7270000}"/>
    <cellStyle name="Normal 5 8 2 2 9" xfId="11289" xr:uid="{00000000-0005-0000-0000-0000C8270000}"/>
    <cellStyle name="Normal 5 8 2 3" xfId="11290" xr:uid="{00000000-0005-0000-0000-0000C9270000}"/>
    <cellStyle name="Normal 5 8 2 3 10" xfId="11291" xr:uid="{00000000-0005-0000-0000-0000CA270000}"/>
    <cellStyle name="Normal 5 8 2 3 11" xfId="11292" xr:uid="{00000000-0005-0000-0000-0000CB270000}"/>
    <cellStyle name="Normal 5 8 2 3 2" xfId="11293" xr:uid="{00000000-0005-0000-0000-0000CC270000}"/>
    <cellStyle name="Normal 5 8 2 3 2 2" xfId="11294" xr:uid="{00000000-0005-0000-0000-0000CD270000}"/>
    <cellStyle name="Normal 5 8 2 3 2 2 2" xfId="11295" xr:uid="{00000000-0005-0000-0000-0000CE270000}"/>
    <cellStyle name="Normal 5 8 2 3 2 2 3" xfId="11296" xr:uid="{00000000-0005-0000-0000-0000CF270000}"/>
    <cellStyle name="Normal 5 8 2 3 2 3" xfId="11297" xr:uid="{00000000-0005-0000-0000-0000D0270000}"/>
    <cellStyle name="Normal 5 8 2 3 2 3 2" xfId="11298" xr:uid="{00000000-0005-0000-0000-0000D1270000}"/>
    <cellStyle name="Normal 5 8 2 3 2 4" xfId="11299" xr:uid="{00000000-0005-0000-0000-0000D2270000}"/>
    <cellStyle name="Normal 5 8 2 3 2 5" xfId="11300" xr:uid="{00000000-0005-0000-0000-0000D3270000}"/>
    <cellStyle name="Normal 5 8 2 3 2 6" xfId="11301" xr:uid="{00000000-0005-0000-0000-0000D4270000}"/>
    <cellStyle name="Normal 5 8 2 3 2 7" xfId="11302" xr:uid="{00000000-0005-0000-0000-0000D5270000}"/>
    <cellStyle name="Normal 5 8 2 3 2 8" xfId="11303" xr:uid="{00000000-0005-0000-0000-0000D6270000}"/>
    <cellStyle name="Normal 5 8 2 3 3" xfId="11304" xr:uid="{00000000-0005-0000-0000-0000D7270000}"/>
    <cellStyle name="Normal 5 8 2 3 3 2" xfId="11305" xr:uid="{00000000-0005-0000-0000-0000D8270000}"/>
    <cellStyle name="Normal 5 8 2 3 3 2 2" xfId="11306" xr:uid="{00000000-0005-0000-0000-0000D9270000}"/>
    <cellStyle name="Normal 5 8 2 3 3 3" xfId="11307" xr:uid="{00000000-0005-0000-0000-0000DA270000}"/>
    <cellStyle name="Normal 5 8 2 3 3 4" xfId="11308" xr:uid="{00000000-0005-0000-0000-0000DB270000}"/>
    <cellStyle name="Normal 5 8 2 3 4" xfId="11309" xr:uid="{00000000-0005-0000-0000-0000DC270000}"/>
    <cellStyle name="Normal 5 8 2 3 4 2" xfId="11310" xr:uid="{00000000-0005-0000-0000-0000DD270000}"/>
    <cellStyle name="Normal 5 8 2 3 5" xfId="11311" xr:uid="{00000000-0005-0000-0000-0000DE270000}"/>
    <cellStyle name="Normal 5 8 2 3 5 2" xfId="11312" xr:uid="{00000000-0005-0000-0000-0000DF270000}"/>
    <cellStyle name="Normal 5 8 2 3 6" xfId="11313" xr:uid="{00000000-0005-0000-0000-0000E0270000}"/>
    <cellStyle name="Normal 5 8 2 3 6 2" xfId="11314" xr:uid="{00000000-0005-0000-0000-0000E1270000}"/>
    <cellStyle name="Normal 5 8 2 3 7" xfId="11315" xr:uid="{00000000-0005-0000-0000-0000E2270000}"/>
    <cellStyle name="Normal 5 8 2 3 8" xfId="11316" xr:uid="{00000000-0005-0000-0000-0000E3270000}"/>
    <cellStyle name="Normal 5 8 2 3 9" xfId="11317" xr:uid="{00000000-0005-0000-0000-0000E4270000}"/>
    <cellStyle name="Normal 5 8 2 4" xfId="11318" xr:uid="{00000000-0005-0000-0000-0000E5270000}"/>
    <cellStyle name="Normal 5 8 2 4 2" xfId="11319" xr:uid="{00000000-0005-0000-0000-0000E6270000}"/>
    <cellStyle name="Normal 5 8 2 4 2 2" xfId="11320" xr:uid="{00000000-0005-0000-0000-0000E7270000}"/>
    <cellStyle name="Normal 5 8 2 4 2 3" xfId="11321" xr:uid="{00000000-0005-0000-0000-0000E8270000}"/>
    <cellStyle name="Normal 5 8 2 4 3" xfId="11322" xr:uid="{00000000-0005-0000-0000-0000E9270000}"/>
    <cellStyle name="Normal 5 8 2 4 3 2" xfId="11323" xr:uid="{00000000-0005-0000-0000-0000EA270000}"/>
    <cellStyle name="Normal 5 8 2 4 4" xfId="11324" xr:uid="{00000000-0005-0000-0000-0000EB270000}"/>
    <cellStyle name="Normal 5 8 2 4 5" xfId="11325" xr:uid="{00000000-0005-0000-0000-0000EC270000}"/>
    <cellStyle name="Normal 5 8 2 4 6" xfId="11326" xr:uid="{00000000-0005-0000-0000-0000ED270000}"/>
    <cellStyle name="Normal 5 8 2 4 7" xfId="11327" xr:uid="{00000000-0005-0000-0000-0000EE270000}"/>
    <cellStyle name="Normal 5 8 2 4 8" xfId="11328" xr:uid="{00000000-0005-0000-0000-0000EF270000}"/>
    <cellStyle name="Normal 5 8 2 5" xfId="11329" xr:uid="{00000000-0005-0000-0000-0000F0270000}"/>
    <cellStyle name="Normal 5 8 2 5 2" xfId="11330" xr:uid="{00000000-0005-0000-0000-0000F1270000}"/>
    <cellStyle name="Normal 5 8 2 5 2 2" xfId="11331" xr:uid="{00000000-0005-0000-0000-0000F2270000}"/>
    <cellStyle name="Normal 5 8 2 5 3" xfId="11332" xr:uid="{00000000-0005-0000-0000-0000F3270000}"/>
    <cellStyle name="Normal 5 8 2 5 4" xfId="11333" xr:uid="{00000000-0005-0000-0000-0000F4270000}"/>
    <cellStyle name="Normal 5 8 2 6" xfId="11334" xr:uid="{00000000-0005-0000-0000-0000F5270000}"/>
    <cellStyle name="Normal 5 8 2 6 2" xfId="11335" xr:uid="{00000000-0005-0000-0000-0000F6270000}"/>
    <cellStyle name="Normal 5 8 2 7" xfId="11336" xr:uid="{00000000-0005-0000-0000-0000F7270000}"/>
    <cellStyle name="Normal 5 8 2 7 2" xfId="11337" xr:uid="{00000000-0005-0000-0000-0000F8270000}"/>
    <cellStyle name="Normal 5 8 2 8" xfId="11338" xr:uid="{00000000-0005-0000-0000-0000F9270000}"/>
    <cellStyle name="Normal 5 8 2 8 2" xfId="11339" xr:uid="{00000000-0005-0000-0000-0000FA270000}"/>
    <cellStyle name="Normal 5 8 2 9" xfId="11340" xr:uid="{00000000-0005-0000-0000-0000FB270000}"/>
    <cellStyle name="Normal 5 8 3" xfId="11341" xr:uid="{00000000-0005-0000-0000-0000FC270000}"/>
    <cellStyle name="Normal 5 8 3 10" xfId="11342" xr:uid="{00000000-0005-0000-0000-0000FD270000}"/>
    <cellStyle name="Normal 5 8 3 11" xfId="11343" xr:uid="{00000000-0005-0000-0000-0000FE270000}"/>
    <cellStyle name="Normal 5 8 3 12" xfId="11344" xr:uid="{00000000-0005-0000-0000-0000FF270000}"/>
    <cellStyle name="Normal 5 8 3 2" xfId="11345" xr:uid="{00000000-0005-0000-0000-000000280000}"/>
    <cellStyle name="Normal 5 8 3 2 10" xfId="11346" xr:uid="{00000000-0005-0000-0000-000001280000}"/>
    <cellStyle name="Normal 5 8 3 2 11" xfId="11347" xr:uid="{00000000-0005-0000-0000-000002280000}"/>
    <cellStyle name="Normal 5 8 3 2 2" xfId="11348" xr:uid="{00000000-0005-0000-0000-000003280000}"/>
    <cellStyle name="Normal 5 8 3 2 2 2" xfId="11349" xr:uid="{00000000-0005-0000-0000-000004280000}"/>
    <cellStyle name="Normal 5 8 3 2 2 2 2" xfId="11350" xr:uid="{00000000-0005-0000-0000-000005280000}"/>
    <cellStyle name="Normal 5 8 3 2 2 2 3" xfId="11351" xr:uid="{00000000-0005-0000-0000-000006280000}"/>
    <cellStyle name="Normal 5 8 3 2 2 3" xfId="11352" xr:uid="{00000000-0005-0000-0000-000007280000}"/>
    <cellStyle name="Normal 5 8 3 2 2 3 2" xfId="11353" xr:uid="{00000000-0005-0000-0000-000008280000}"/>
    <cellStyle name="Normal 5 8 3 2 2 4" xfId="11354" xr:uid="{00000000-0005-0000-0000-000009280000}"/>
    <cellStyle name="Normal 5 8 3 2 2 5" xfId="11355" xr:uid="{00000000-0005-0000-0000-00000A280000}"/>
    <cellStyle name="Normal 5 8 3 2 2 6" xfId="11356" xr:uid="{00000000-0005-0000-0000-00000B280000}"/>
    <cellStyle name="Normal 5 8 3 2 2 7" xfId="11357" xr:uid="{00000000-0005-0000-0000-00000C280000}"/>
    <cellStyle name="Normal 5 8 3 2 2 8" xfId="11358" xr:uid="{00000000-0005-0000-0000-00000D280000}"/>
    <cellStyle name="Normal 5 8 3 2 3" xfId="11359" xr:uid="{00000000-0005-0000-0000-00000E280000}"/>
    <cellStyle name="Normal 5 8 3 2 3 2" xfId="11360" xr:uid="{00000000-0005-0000-0000-00000F280000}"/>
    <cellStyle name="Normal 5 8 3 2 3 2 2" xfId="11361" xr:uid="{00000000-0005-0000-0000-000010280000}"/>
    <cellStyle name="Normal 5 8 3 2 3 3" xfId="11362" xr:uid="{00000000-0005-0000-0000-000011280000}"/>
    <cellStyle name="Normal 5 8 3 2 3 4" xfId="11363" xr:uid="{00000000-0005-0000-0000-000012280000}"/>
    <cellStyle name="Normal 5 8 3 2 4" xfId="11364" xr:uid="{00000000-0005-0000-0000-000013280000}"/>
    <cellStyle name="Normal 5 8 3 2 4 2" xfId="11365" xr:uid="{00000000-0005-0000-0000-000014280000}"/>
    <cellStyle name="Normal 5 8 3 2 5" xfId="11366" xr:uid="{00000000-0005-0000-0000-000015280000}"/>
    <cellStyle name="Normal 5 8 3 2 5 2" xfId="11367" xr:uid="{00000000-0005-0000-0000-000016280000}"/>
    <cellStyle name="Normal 5 8 3 2 6" xfId="11368" xr:uid="{00000000-0005-0000-0000-000017280000}"/>
    <cellStyle name="Normal 5 8 3 2 6 2" xfId="11369" xr:uid="{00000000-0005-0000-0000-000018280000}"/>
    <cellStyle name="Normal 5 8 3 2 7" xfId="11370" xr:uid="{00000000-0005-0000-0000-000019280000}"/>
    <cellStyle name="Normal 5 8 3 2 8" xfId="11371" xr:uid="{00000000-0005-0000-0000-00001A280000}"/>
    <cellStyle name="Normal 5 8 3 2 9" xfId="11372" xr:uid="{00000000-0005-0000-0000-00001B280000}"/>
    <cellStyle name="Normal 5 8 3 3" xfId="11373" xr:uid="{00000000-0005-0000-0000-00001C280000}"/>
    <cellStyle name="Normal 5 8 3 3 2" xfId="11374" xr:uid="{00000000-0005-0000-0000-00001D280000}"/>
    <cellStyle name="Normal 5 8 3 3 2 2" xfId="11375" xr:uid="{00000000-0005-0000-0000-00001E280000}"/>
    <cellStyle name="Normal 5 8 3 3 2 3" xfId="11376" xr:uid="{00000000-0005-0000-0000-00001F280000}"/>
    <cellStyle name="Normal 5 8 3 3 3" xfId="11377" xr:uid="{00000000-0005-0000-0000-000020280000}"/>
    <cellStyle name="Normal 5 8 3 3 3 2" xfId="11378" xr:uid="{00000000-0005-0000-0000-000021280000}"/>
    <cellStyle name="Normal 5 8 3 3 4" xfId="11379" xr:uid="{00000000-0005-0000-0000-000022280000}"/>
    <cellStyle name="Normal 5 8 3 3 5" xfId="11380" xr:uid="{00000000-0005-0000-0000-000023280000}"/>
    <cellStyle name="Normal 5 8 3 3 6" xfId="11381" xr:uid="{00000000-0005-0000-0000-000024280000}"/>
    <cellStyle name="Normal 5 8 3 3 7" xfId="11382" xr:uid="{00000000-0005-0000-0000-000025280000}"/>
    <cellStyle name="Normal 5 8 3 3 8" xfId="11383" xr:uid="{00000000-0005-0000-0000-000026280000}"/>
    <cellStyle name="Normal 5 8 3 4" xfId="11384" xr:uid="{00000000-0005-0000-0000-000027280000}"/>
    <cellStyle name="Normal 5 8 3 4 2" xfId="11385" xr:uid="{00000000-0005-0000-0000-000028280000}"/>
    <cellStyle name="Normal 5 8 3 4 2 2" xfId="11386" xr:uid="{00000000-0005-0000-0000-000029280000}"/>
    <cellStyle name="Normal 5 8 3 4 3" xfId="11387" xr:uid="{00000000-0005-0000-0000-00002A280000}"/>
    <cellStyle name="Normal 5 8 3 4 4" xfId="11388" xr:uid="{00000000-0005-0000-0000-00002B280000}"/>
    <cellStyle name="Normal 5 8 3 5" xfId="11389" xr:uid="{00000000-0005-0000-0000-00002C280000}"/>
    <cellStyle name="Normal 5 8 3 5 2" xfId="11390" xr:uid="{00000000-0005-0000-0000-00002D280000}"/>
    <cellStyle name="Normal 5 8 3 6" xfId="11391" xr:uid="{00000000-0005-0000-0000-00002E280000}"/>
    <cellStyle name="Normal 5 8 3 6 2" xfId="11392" xr:uid="{00000000-0005-0000-0000-00002F280000}"/>
    <cellStyle name="Normal 5 8 3 7" xfId="11393" xr:uid="{00000000-0005-0000-0000-000030280000}"/>
    <cellStyle name="Normal 5 8 3 7 2" xfId="11394" xr:uid="{00000000-0005-0000-0000-000031280000}"/>
    <cellStyle name="Normal 5 8 3 8" xfId="11395" xr:uid="{00000000-0005-0000-0000-000032280000}"/>
    <cellStyle name="Normal 5 8 3 9" xfId="11396" xr:uid="{00000000-0005-0000-0000-000033280000}"/>
    <cellStyle name="Normal 5 8 4" xfId="11397" xr:uid="{00000000-0005-0000-0000-000034280000}"/>
    <cellStyle name="Normal 5 8 4 10" xfId="11398" xr:uid="{00000000-0005-0000-0000-000035280000}"/>
    <cellStyle name="Normal 5 8 4 11" xfId="11399" xr:uid="{00000000-0005-0000-0000-000036280000}"/>
    <cellStyle name="Normal 5 8 4 2" xfId="11400" xr:uid="{00000000-0005-0000-0000-000037280000}"/>
    <cellStyle name="Normal 5 8 4 2 2" xfId="11401" xr:uid="{00000000-0005-0000-0000-000038280000}"/>
    <cellStyle name="Normal 5 8 4 2 2 2" xfId="11402" xr:uid="{00000000-0005-0000-0000-000039280000}"/>
    <cellStyle name="Normal 5 8 4 2 2 3" xfId="11403" xr:uid="{00000000-0005-0000-0000-00003A280000}"/>
    <cellStyle name="Normal 5 8 4 2 3" xfId="11404" xr:uid="{00000000-0005-0000-0000-00003B280000}"/>
    <cellStyle name="Normal 5 8 4 2 3 2" xfId="11405" xr:uid="{00000000-0005-0000-0000-00003C280000}"/>
    <cellStyle name="Normal 5 8 4 2 4" xfId="11406" xr:uid="{00000000-0005-0000-0000-00003D280000}"/>
    <cellStyle name="Normal 5 8 4 2 5" xfId="11407" xr:uid="{00000000-0005-0000-0000-00003E280000}"/>
    <cellStyle name="Normal 5 8 4 2 6" xfId="11408" xr:uid="{00000000-0005-0000-0000-00003F280000}"/>
    <cellStyle name="Normal 5 8 4 2 7" xfId="11409" xr:uid="{00000000-0005-0000-0000-000040280000}"/>
    <cellStyle name="Normal 5 8 4 2 8" xfId="11410" xr:uid="{00000000-0005-0000-0000-000041280000}"/>
    <cellStyle name="Normal 5 8 4 3" xfId="11411" xr:uid="{00000000-0005-0000-0000-000042280000}"/>
    <cellStyle name="Normal 5 8 4 3 2" xfId="11412" xr:uid="{00000000-0005-0000-0000-000043280000}"/>
    <cellStyle name="Normal 5 8 4 3 2 2" xfId="11413" xr:uid="{00000000-0005-0000-0000-000044280000}"/>
    <cellStyle name="Normal 5 8 4 3 3" xfId="11414" xr:uid="{00000000-0005-0000-0000-000045280000}"/>
    <cellStyle name="Normal 5 8 4 3 4" xfId="11415" xr:uid="{00000000-0005-0000-0000-000046280000}"/>
    <cellStyle name="Normal 5 8 4 4" xfId="11416" xr:uid="{00000000-0005-0000-0000-000047280000}"/>
    <cellStyle name="Normal 5 8 4 4 2" xfId="11417" xr:uid="{00000000-0005-0000-0000-000048280000}"/>
    <cellStyle name="Normal 5 8 4 5" xfId="11418" xr:uid="{00000000-0005-0000-0000-000049280000}"/>
    <cellStyle name="Normal 5 8 4 5 2" xfId="11419" xr:uid="{00000000-0005-0000-0000-00004A280000}"/>
    <cellStyle name="Normal 5 8 4 6" xfId="11420" xr:uid="{00000000-0005-0000-0000-00004B280000}"/>
    <cellStyle name="Normal 5 8 4 6 2" xfId="11421" xr:uid="{00000000-0005-0000-0000-00004C280000}"/>
    <cellStyle name="Normal 5 8 4 7" xfId="11422" xr:uid="{00000000-0005-0000-0000-00004D280000}"/>
    <cellStyle name="Normal 5 8 4 8" xfId="11423" xr:uid="{00000000-0005-0000-0000-00004E280000}"/>
    <cellStyle name="Normal 5 8 4 9" xfId="11424" xr:uid="{00000000-0005-0000-0000-00004F280000}"/>
    <cellStyle name="Normal 5 8 5" xfId="11425" xr:uid="{00000000-0005-0000-0000-000050280000}"/>
    <cellStyle name="Normal 5 8 5 2" xfId="11426" xr:uid="{00000000-0005-0000-0000-000051280000}"/>
    <cellStyle name="Normal 5 8 5 2 2" xfId="11427" xr:uid="{00000000-0005-0000-0000-000052280000}"/>
    <cellStyle name="Normal 5 8 5 2 3" xfId="11428" xr:uid="{00000000-0005-0000-0000-000053280000}"/>
    <cellStyle name="Normal 5 8 5 3" xfId="11429" xr:uid="{00000000-0005-0000-0000-000054280000}"/>
    <cellStyle name="Normal 5 8 5 3 2" xfId="11430" xr:uid="{00000000-0005-0000-0000-000055280000}"/>
    <cellStyle name="Normal 5 8 5 4" xfId="11431" xr:uid="{00000000-0005-0000-0000-000056280000}"/>
    <cellStyle name="Normal 5 8 5 5" xfId="11432" xr:uid="{00000000-0005-0000-0000-000057280000}"/>
    <cellStyle name="Normal 5 8 5 6" xfId="11433" xr:uid="{00000000-0005-0000-0000-000058280000}"/>
    <cellStyle name="Normal 5 8 5 7" xfId="11434" xr:uid="{00000000-0005-0000-0000-000059280000}"/>
    <cellStyle name="Normal 5 8 5 8" xfId="11435" xr:uid="{00000000-0005-0000-0000-00005A280000}"/>
    <cellStyle name="Normal 5 8 6" xfId="11436" xr:uid="{00000000-0005-0000-0000-00005B280000}"/>
    <cellStyle name="Normal 5 8 6 2" xfId="11437" xr:uid="{00000000-0005-0000-0000-00005C280000}"/>
    <cellStyle name="Normal 5 8 6 2 2" xfId="11438" xr:uid="{00000000-0005-0000-0000-00005D280000}"/>
    <cellStyle name="Normal 5 8 6 3" xfId="11439" xr:uid="{00000000-0005-0000-0000-00005E280000}"/>
    <cellStyle name="Normal 5 8 6 4" xfId="11440" xr:uid="{00000000-0005-0000-0000-00005F280000}"/>
    <cellStyle name="Normal 5 8 7" xfId="11441" xr:uid="{00000000-0005-0000-0000-000060280000}"/>
    <cellStyle name="Normal 5 8 7 2" xfId="11442" xr:uid="{00000000-0005-0000-0000-000061280000}"/>
    <cellStyle name="Normal 5 8 8" xfId="11443" xr:uid="{00000000-0005-0000-0000-000062280000}"/>
    <cellStyle name="Normal 5 8 8 2" xfId="11444" xr:uid="{00000000-0005-0000-0000-000063280000}"/>
    <cellStyle name="Normal 5 8 9" xfId="11445" xr:uid="{00000000-0005-0000-0000-000064280000}"/>
    <cellStyle name="Normal 5 8 9 2" xfId="11446" xr:uid="{00000000-0005-0000-0000-000065280000}"/>
    <cellStyle name="Normal 5 9" xfId="1963" xr:uid="{00000000-0005-0000-0000-000066280000}"/>
    <cellStyle name="Normal 5_Book3" xfId="11447" xr:uid="{00000000-0005-0000-0000-000067280000}"/>
    <cellStyle name="Normal 50" xfId="11448" xr:uid="{00000000-0005-0000-0000-000068280000}"/>
    <cellStyle name="Normal 51" xfId="11449" xr:uid="{00000000-0005-0000-0000-000069280000}"/>
    <cellStyle name="Normal 51 2" xfId="11450" xr:uid="{00000000-0005-0000-0000-00006A280000}"/>
    <cellStyle name="Normal 52" xfId="11451" xr:uid="{00000000-0005-0000-0000-00006B280000}"/>
    <cellStyle name="Normal 52 2" xfId="11452" xr:uid="{00000000-0005-0000-0000-00006C280000}"/>
    <cellStyle name="Normal 53" xfId="11453" xr:uid="{00000000-0005-0000-0000-00006D280000}"/>
    <cellStyle name="Normal 53 2" xfId="11454" xr:uid="{00000000-0005-0000-0000-00006E280000}"/>
    <cellStyle name="Normal 53 2 2" xfId="11455" xr:uid="{00000000-0005-0000-0000-00006F280000}"/>
    <cellStyle name="Normal 53 3" xfId="11456" xr:uid="{00000000-0005-0000-0000-000070280000}"/>
    <cellStyle name="Normal 54" xfId="11457" xr:uid="{00000000-0005-0000-0000-000071280000}"/>
    <cellStyle name="Normal 54 2" xfId="11458" xr:uid="{00000000-0005-0000-0000-000072280000}"/>
    <cellStyle name="Normal 54 2 2" xfId="11459" xr:uid="{00000000-0005-0000-0000-000073280000}"/>
    <cellStyle name="Normal 54 3" xfId="11460" xr:uid="{00000000-0005-0000-0000-000074280000}"/>
    <cellStyle name="Normal 55" xfId="11461" xr:uid="{00000000-0005-0000-0000-000075280000}"/>
    <cellStyle name="Normal 55 2" xfId="11462" xr:uid="{00000000-0005-0000-0000-000076280000}"/>
    <cellStyle name="Normal 56" xfId="11463" xr:uid="{00000000-0005-0000-0000-000077280000}"/>
    <cellStyle name="Normal 56 2" xfId="11464" xr:uid="{00000000-0005-0000-0000-000078280000}"/>
    <cellStyle name="Normal 57" xfId="11465" xr:uid="{00000000-0005-0000-0000-000079280000}"/>
    <cellStyle name="Normal 57 2" xfId="11466" xr:uid="{00000000-0005-0000-0000-00007A280000}"/>
    <cellStyle name="Normal 58" xfId="11467" xr:uid="{00000000-0005-0000-0000-00007B280000}"/>
    <cellStyle name="Normal 58 2" xfId="11468" xr:uid="{00000000-0005-0000-0000-00007C280000}"/>
    <cellStyle name="Normal 59" xfId="11469" xr:uid="{00000000-0005-0000-0000-00007D280000}"/>
    <cellStyle name="Normal 59 2" xfId="11470" xr:uid="{00000000-0005-0000-0000-00007E280000}"/>
    <cellStyle name="Normal 6" xfId="1964" xr:uid="{00000000-0005-0000-0000-00007F280000}"/>
    <cellStyle name="Normal 6 10" xfId="11471" xr:uid="{00000000-0005-0000-0000-000080280000}"/>
    <cellStyle name="Normal 6 11" xfId="11472" xr:uid="{00000000-0005-0000-0000-000081280000}"/>
    <cellStyle name="Normal 6 2" xfId="5" xr:uid="{00000000-0005-0000-0000-000082280000}"/>
    <cellStyle name="Normal 6 2 2" xfId="23" xr:uid="{00000000-0005-0000-0000-000083280000}"/>
    <cellStyle name="Normal 6 2 2 2" xfId="1967" xr:uid="{00000000-0005-0000-0000-000084280000}"/>
    <cellStyle name="Normal 6 2 2 2 2" xfId="1968" xr:uid="{00000000-0005-0000-0000-000085280000}"/>
    <cellStyle name="Normal 6 2 2 2 2 2" xfId="1969" xr:uid="{00000000-0005-0000-0000-000086280000}"/>
    <cellStyle name="Normal 6 2 2 2 2 2 2" xfId="1970" xr:uid="{00000000-0005-0000-0000-000087280000}"/>
    <cellStyle name="Normal 6 2 2 2 2 2 2 2" xfId="1971" xr:uid="{00000000-0005-0000-0000-000088280000}"/>
    <cellStyle name="Normal 6 2 2 2 2 2 2 2 2" xfId="1972" xr:uid="{00000000-0005-0000-0000-000089280000}"/>
    <cellStyle name="Normal 6 2 2 2 2 2 2 3" xfId="1973" xr:uid="{00000000-0005-0000-0000-00008A280000}"/>
    <cellStyle name="Normal 6 2 2 2 2 2 3" xfId="1974" xr:uid="{00000000-0005-0000-0000-00008B280000}"/>
    <cellStyle name="Normal 6 2 2 2 2 2 3 2" xfId="1975" xr:uid="{00000000-0005-0000-0000-00008C280000}"/>
    <cellStyle name="Normal 6 2 2 2 2 2 4" xfId="1976" xr:uid="{00000000-0005-0000-0000-00008D280000}"/>
    <cellStyle name="Normal 6 2 2 2 2 3" xfId="1977" xr:uid="{00000000-0005-0000-0000-00008E280000}"/>
    <cellStyle name="Normal 6 2 2 2 2 3 2" xfId="1978" xr:uid="{00000000-0005-0000-0000-00008F280000}"/>
    <cellStyle name="Normal 6 2 2 2 2 3 2 2" xfId="1979" xr:uid="{00000000-0005-0000-0000-000090280000}"/>
    <cellStyle name="Normal 6 2 2 2 2 3 3" xfId="1980" xr:uid="{00000000-0005-0000-0000-000091280000}"/>
    <cellStyle name="Normal 6 2 2 2 2 4" xfId="1981" xr:uid="{00000000-0005-0000-0000-000092280000}"/>
    <cellStyle name="Normal 6 2 2 2 2 4 2" xfId="1982" xr:uid="{00000000-0005-0000-0000-000093280000}"/>
    <cellStyle name="Normal 6 2 2 2 2 5" xfId="1983" xr:uid="{00000000-0005-0000-0000-000094280000}"/>
    <cellStyle name="Normal 6 2 2 2 3" xfId="1984" xr:uid="{00000000-0005-0000-0000-000095280000}"/>
    <cellStyle name="Normal 6 2 2 2 3 2" xfId="1985" xr:uid="{00000000-0005-0000-0000-000096280000}"/>
    <cellStyle name="Normal 6 2 2 2 3 2 2" xfId="1986" xr:uid="{00000000-0005-0000-0000-000097280000}"/>
    <cellStyle name="Normal 6 2 2 2 3 2 2 2" xfId="1987" xr:uid="{00000000-0005-0000-0000-000098280000}"/>
    <cellStyle name="Normal 6 2 2 2 3 2 3" xfId="1988" xr:uid="{00000000-0005-0000-0000-000099280000}"/>
    <cellStyle name="Normal 6 2 2 2 3 3" xfId="1989" xr:uid="{00000000-0005-0000-0000-00009A280000}"/>
    <cellStyle name="Normal 6 2 2 2 3 3 2" xfId="1990" xr:uid="{00000000-0005-0000-0000-00009B280000}"/>
    <cellStyle name="Normal 6 2 2 2 3 4" xfId="1991" xr:uid="{00000000-0005-0000-0000-00009C280000}"/>
    <cellStyle name="Normal 6 2 2 2 4" xfId="1992" xr:uid="{00000000-0005-0000-0000-00009D280000}"/>
    <cellStyle name="Normal 6 2 2 2 4 2" xfId="1993" xr:uid="{00000000-0005-0000-0000-00009E280000}"/>
    <cellStyle name="Normal 6 2 2 2 4 2 2" xfId="1994" xr:uid="{00000000-0005-0000-0000-00009F280000}"/>
    <cellStyle name="Normal 6 2 2 2 4 3" xfId="1995" xr:uid="{00000000-0005-0000-0000-0000A0280000}"/>
    <cellStyle name="Normal 6 2 2 2 5" xfId="1996" xr:uid="{00000000-0005-0000-0000-0000A1280000}"/>
    <cellStyle name="Normal 6 2 2 2 5 2" xfId="1997" xr:uid="{00000000-0005-0000-0000-0000A2280000}"/>
    <cellStyle name="Normal 6 2 2 2 6" xfId="1998" xr:uid="{00000000-0005-0000-0000-0000A3280000}"/>
    <cellStyle name="Normal 6 2 2 3" xfId="1999" xr:uid="{00000000-0005-0000-0000-0000A4280000}"/>
    <cellStyle name="Normal 6 2 2 3 2" xfId="2000" xr:uid="{00000000-0005-0000-0000-0000A5280000}"/>
    <cellStyle name="Normal 6 2 2 3 2 2" xfId="2001" xr:uid="{00000000-0005-0000-0000-0000A6280000}"/>
    <cellStyle name="Normal 6 2 2 3 2 2 2" xfId="2002" xr:uid="{00000000-0005-0000-0000-0000A7280000}"/>
    <cellStyle name="Normal 6 2 2 3 2 2 2 2" xfId="2003" xr:uid="{00000000-0005-0000-0000-0000A8280000}"/>
    <cellStyle name="Normal 6 2 2 3 2 2 3" xfId="2004" xr:uid="{00000000-0005-0000-0000-0000A9280000}"/>
    <cellStyle name="Normal 6 2 2 3 2 3" xfId="2005" xr:uid="{00000000-0005-0000-0000-0000AA280000}"/>
    <cellStyle name="Normal 6 2 2 3 2 3 2" xfId="2006" xr:uid="{00000000-0005-0000-0000-0000AB280000}"/>
    <cellStyle name="Normal 6 2 2 3 2 4" xfId="2007" xr:uid="{00000000-0005-0000-0000-0000AC280000}"/>
    <cellStyle name="Normal 6 2 2 3 3" xfId="2008" xr:uid="{00000000-0005-0000-0000-0000AD280000}"/>
    <cellStyle name="Normal 6 2 2 3 3 2" xfId="2009" xr:uid="{00000000-0005-0000-0000-0000AE280000}"/>
    <cellStyle name="Normal 6 2 2 3 3 2 2" xfId="2010" xr:uid="{00000000-0005-0000-0000-0000AF280000}"/>
    <cellStyle name="Normal 6 2 2 3 3 3" xfId="2011" xr:uid="{00000000-0005-0000-0000-0000B0280000}"/>
    <cellStyle name="Normal 6 2 2 3 4" xfId="2012" xr:uid="{00000000-0005-0000-0000-0000B1280000}"/>
    <cellStyle name="Normal 6 2 2 3 4 2" xfId="2013" xr:uid="{00000000-0005-0000-0000-0000B2280000}"/>
    <cellStyle name="Normal 6 2 2 3 5" xfId="2014" xr:uid="{00000000-0005-0000-0000-0000B3280000}"/>
    <cellStyle name="Normal 6 2 2 4" xfId="2015" xr:uid="{00000000-0005-0000-0000-0000B4280000}"/>
    <cellStyle name="Normal 6 2 2 4 2" xfId="2016" xr:uid="{00000000-0005-0000-0000-0000B5280000}"/>
    <cellStyle name="Normal 6 2 2 4 2 2" xfId="2017" xr:uid="{00000000-0005-0000-0000-0000B6280000}"/>
    <cellStyle name="Normal 6 2 2 4 2 2 2" xfId="2018" xr:uid="{00000000-0005-0000-0000-0000B7280000}"/>
    <cellStyle name="Normal 6 2 2 4 2 3" xfId="2019" xr:uid="{00000000-0005-0000-0000-0000B8280000}"/>
    <cellStyle name="Normal 6 2 2 4 3" xfId="2020" xr:uid="{00000000-0005-0000-0000-0000B9280000}"/>
    <cellStyle name="Normal 6 2 2 4 3 2" xfId="2021" xr:uid="{00000000-0005-0000-0000-0000BA280000}"/>
    <cellStyle name="Normal 6 2 2 4 4" xfId="2022" xr:uid="{00000000-0005-0000-0000-0000BB280000}"/>
    <cellStyle name="Normal 6 2 2 5" xfId="2023" xr:uid="{00000000-0005-0000-0000-0000BC280000}"/>
    <cellStyle name="Normal 6 2 2 5 2" xfId="2024" xr:uid="{00000000-0005-0000-0000-0000BD280000}"/>
    <cellStyle name="Normal 6 2 2 5 2 2" xfId="2025" xr:uid="{00000000-0005-0000-0000-0000BE280000}"/>
    <cellStyle name="Normal 6 2 2 5 3" xfId="2026" xr:uid="{00000000-0005-0000-0000-0000BF280000}"/>
    <cellStyle name="Normal 6 2 2 6" xfId="2027" xr:uid="{00000000-0005-0000-0000-0000C0280000}"/>
    <cellStyle name="Normal 6 2 2 6 2" xfId="2028" xr:uid="{00000000-0005-0000-0000-0000C1280000}"/>
    <cellStyle name="Normal 6 2 2 7" xfId="2029" xr:uid="{00000000-0005-0000-0000-0000C2280000}"/>
    <cellStyle name="Normal 6 2 2 8" xfId="1966" xr:uid="{00000000-0005-0000-0000-0000C3280000}"/>
    <cellStyle name="Normal 6 2 3" xfId="2030" xr:uid="{00000000-0005-0000-0000-0000C4280000}"/>
    <cellStyle name="Normal 6 2 3 2" xfId="2031" xr:uid="{00000000-0005-0000-0000-0000C5280000}"/>
    <cellStyle name="Normal 6 2 3 2 2" xfId="2032" xr:uid="{00000000-0005-0000-0000-0000C6280000}"/>
    <cellStyle name="Normal 6 2 3 2 2 2" xfId="2033" xr:uid="{00000000-0005-0000-0000-0000C7280000}"/>
    <cellStyle name="Normal 6 2 3 2 2 2 2" xfId="2034" xr:uid="{00000000-0005-0000-0000-0000C8280000}"/>
    <cellStyle name="Normal 6 2 3 2 2 2 2 2" xfId="2035" xr:uid="{00000000-0005-0000-0000-0000C9280000}"/>
    <cellStyle name="Normal 6 2 3 2 2 2 3" xfId="2036" xr:uid="{00000000-0005-0000-0000-0000CA280000}"/>
    <cellStyle name="Normal 6 2 3 2 2 3" xfId="2037" xr:uid="{00000000-0005-0000-0000-0000CB280000}"/>
    <cellStyle name="Normal 6 2 3 2 2 3 2" xfId="2038" xr:uid="{00000000-0005-0000-0000-0000CC280000}"/>
    <cellStyle name="Normal 6 2 3 2 2 4" xfId="2039" xr:uid="{00000000-0005-0000-0000-0000CD280000}"/>
    <cellStyle name="Normal 6 2 3 2 3" xfId="2040" xr:uid="{00000000-0005-0000-0000-0000CE280000}"/>
    <cellStyle name="Normal 6 2 3 2 3 2" xfId="2041" xr:uid="{00000000-0005-0000-0000-0000CF280000}"/>
    <cellStyle name="Normal 6 2 3 2 3 2 2" xfId="2042" xr:uid="{00000000-0005-0000-0000-0000D0280000}"/>
    <cellStyle name="Normal 6 2 3 2 3 3" xfId="2043" xr:uid="{00000000-0005-0000-0000-0000D1280000}"/>
    <cellStyle name="Normal 6 2 3 2 4" xfId="2044" xr:uid="{00000000-0005-0000-0000-0000D2280000}"/>
    <cellStyle name="Normal 6 2 3 2 4 2" xfId="2045" xr:uid="{00000000-0005-0000-0000-0000D3280000}"/>
    <cellStyle name="Normal 6 2 3 2 5" xfId="2046" xr:uid="{00000000-0005-0000-0000-0000D4280000}"/>
    <cellStyle name="Normal 6 2 3 3" xfId="2047" xr:uid="{00000000-0005-0000-0000-0000D5280000}"/>
    <cellStyle name="Normal 6 2 3 3 2" xfId="2048" xr:uid="{00000000-0005-0000-0000-0000D6280000}"/>
    <cellStyle name="Normal 6 2 3 3 2 2" xfId="2049" xr:uid="{00000000-0005-0000-0000-0000D7280000}"/>
    <cellStyle name="Normal 6 2 3 3 2 2 2" xfId="2050" xr:uid="{00000000-0005-0000-0000-0000D8280000}"/>
    <cellStyle name="Normal 6 2 3 3 2 3" xfId="2051" xr:uid="{00000000-0005-0000-0000-0000D9280000}"/>
    <cellStyle name="Normal 6 2 3 3 3" xfId="2052" xr:uid="{00000000-0005-0000-0000-0000DA280000}"/>
    <cellStyle name="Normal 6 2 3 3 3 2" xfId="2053" xr:uid="{00000000-0005-0000-0000-0000DB280000}"/>
    <cellStyle name="Normal 6 2 3 3 4" xfId="2054" xr:uid="{00000000-0005-0000-0000-0000DC280000}"/>
    <cellStyle name="Normal 6 2 3 4" xfId="2055" xr:uid="{00000000-0005-0000-0000-0000DD280000}"/>
    <cellStyle name="Normal 6 2 3 4 2" xfId="2056" xr:uid="{00000000-0005-0000-0000-0000DE280000}"/>
    <cellStyle name="Normal 6 2 3 4 2 2" xfId="2057" xr:uid="{00000000-0005-0000-0000-0000DF280000}"/>
    <cellStyle name="Normal 6 2 3 4 3" xfId="2058" xr:uid="{00000000-0005-0000-0000-0000E0280000}"/>
    <cellStyle name="Normal 6 2 3 5" xfId="2059" xr:uid="{00000000-0005-0000-0000-0000E1280000}"/>
    <cellStyle name="Normal 6 2 3 5 2" xfId="2060" xr:uid="{00000000-0005-0000-0000-0000E2280000}"/>
    <cellStyle name="Normal 6 2 3 6" xfId="2061" xr:uid="{00000000-0005-0000-0000-0000E3280000}"/>
    <cellStyle name="Normal 6 2 4" xfId="2062" xr:uid="{00000000-0005-0000-0000-0000E4280000}"/>
    <cellStyle name="Normal 6 2 4 2" xfId="2063" xr:uid="{00000000-0005-0000-0000-0000E5280000}"/>
    <cellStyle name="Normal 6 2 4 2 2" xfId="2064" xr:uid="{00000000-0005-0000-0000-0000E6280000}"/>
    <cellStyle name="Normal 6 2 4 2 2 2" xfId="2065" xr:uid="{00000000-0005-0000-0000-0000E7280000}"/>
    <cellStyle name="Normal 6 2 4 2 2 2 2" xfId="2066" xr:uid="{00000000-0005-0000-0000-0000E8280000}"/>
    <cellStyle name="Normal 6 2 4 2 2 3" xfId="2067" xr:uid="{00000000-0005-0000-0000-0000E9280000}"/>
    <cellStyle name="Normal 6 2 4 2 3" xfId="2068" xr:uid="{00000000-0005-0000-0000-0000EA280000}"/>
    <cellStyle name="Normal 6 2 4 2 3 2" xfId="2069" xr:uid="{00000000-0005-0000-0000-0000EB280000}"/>
    <cellStyle name="Normal 6 2 4 2 4" xfId="2070" xr:uid="{00000000-0005-0000-0000-0000EC280000}"/>
    <cellStyle name="Normal 6 2 4 3" xfId="2071" xr:uid="{00000000-0005-0000-0000-0000ED280000}"/>
    <cellStyle name="Normal 6 2 4 3 2" xfId="2072" xr:uid="{00000000-0005-0000-0000-0000EE280000}"/>
    <cellStyle name="Normal 6 2 4 3 2 2" xfId="2073" xr:uid="{00000000-0005-0000-0000-0000EF280000}"/>
    <cellStyle name="Normal 6 2 4 3 3" xfId="2074" xr:uid="{00000000-0005-0000-0000-0000F0280000}"/>
    <cellStyle name="Normal 6 2 4 4" xfId="2075" xr:uid="{00000000-0005-0000-0000-0000F1280000}"/>
    <cellStyle name="Normal 6 2 4 4 2" xfId="2076" xr:uid="{00000000-0005-0000-0000-0000F2280000}"/>
    <cellStyle name="Normal 6 2 4 5" xfId="2077" xr:uid="{00000000-0005-0000-0000-0000F3280000}"/>
    <cellStyle name="Normal 6 2 5" xfId="2078" xr:uid="{00000000-0005-0000-0000-0000F4280000}"/>
    <cellStyle name="Normal 6 2 5 2" xfId="2079" xr:uid="{00000000-0005-0000-0000-0000F5280000}"/>
    <cellStyle name="Normal 6 2 5 2 2" xfId="2080" xr:uid="{00000000-0005-0000-0000-0000F6280000}"/>
    <cellStyle name="Normal 6 2 5 2 2 2" xfId="2081" xr:uid="{00000000-0005-0000-0000-0000F7280000}"/>
    <cellStyle name="Normal 6 2 5 2 3" xfId="2082" xr:uid="{00000000-0005-0000-0000-0000F8280000}"/>
    <cellStyle name="Normal 6 2 5 3" xfId="2083" xr:uid="{00000000-0005-0000-0000-0000F9280000}"/>
    <cellStyle name="Normal 6 2 5 3 2" xfId="2084" xr:uid="{00000000-0005-0000-0000-0000FA280000}"/>
    <cellStyle name="Normal 6 2 5 4" xfId="2085" xr:uid="{00000000-0005-0000-0000-0000FB280000}"/>
    <cellStyle name="Normal 6 2 6" xfId="2086" xr:uid="{00000000-0005-0000-0000-0000FC280000}"/>
    <cellStyle name="Normal 6 2 6 2" xfId="2087" xr:uid="{00000000-0005-0000-0000-0000FD280000}"/>
    <cellStyle name="Normal 6 2 6 2 2" xfId="2088" xr:uid="{00000000-0005-0000-0000-0000FE280000}"/>
    <cellStyle name="Normal 6 2 6 3" xfId="2089" xr:uid="{00000000-0005-0000-0000-0000FF280000}"/>
    <cellStyle name="Normal 6 2 7" xfId="2090" xr:uid="{00000000-0005-0000-0000-000000290000}"/>
    <cellStyle name="Normal 6 2 7 2" xfId="2091" xr:uid="{00000000-0005-0000-0000-000001290000}"/>
    <cellStyle name="Normal 6 2 8" xfId="2092" xr:uid="{00000000-0005-0000-0000-000002290000}"/>
    <cellStyle name="Normal 6 2 9" xfId="1965" xr:uid="{00000000-0005-0000-0000-000003290000}"/>
    <cellStyle name="Normal 6 3" xfId="2093" xr:uid="{00000000-0005-0000-0000-000004290000}"/>
    <cellStyle name="Normal 6 3 2" xfId="2094" xr:uid="{00000000-0005-0000-0000-000005290000}"/>
    <cellStyle name="Normal 6 3 2 2" xfId="2095" xr:uid="{00000000-0005-0000-0000-000006290000}"/>
    <cellStyle name="Normal 6 3 2 2 2" xfId="2096" xr:uid="{00000000-0005-0000-0000-000007290000}"/>
    <cellStyle name="Normal 6 3 2 2 2 2" xfId="2097" xr:uid="{00000000-0005-0000-0000-000008290000}"/>
    <cellStyle name="Normal 6 3 2 2 2 2 2" xfId="2098" xr:uid="{00000000-0005-0000-0000-000009290000}"/>
    <cellStyle name="Normal 6 3 2 2 2 2 2 2" xfId="2099" xr:uid="{00000000-0005-0000-0000-00000A290000}"/>
    <cellStyle name="Normal 6 3 2 2 2 2 3" xfId="2100" xr:uid="{00000000-0005-0000-0000-00000B290000}"/>
    <cellStyle name="Normal 6 3 2 2 2 3" xfId="2101" xr:uid="{00000000-0005-0000-0000-00000C290000}"/>
    <cellStyle name="Normal 6 3 2 2 2 3 2" xfId="2102" xr:uid="{00000000-0005-0000-0000-00000D290000}"/>
    <cellStyle name="Normal 6 3 2 2 2 4" xfId="2103" xr:uid="{00000000-0005-0000-0000-00000E290000}"/>
    <cellStyle name="Normal 6 3 2 2 3" xfId="2104" xr:uid="{00000000-0005-0000-0000-00000F290000}"/>
    <cellStyle name="Normal 6 3 2 2 3 2" xfId="2105" xr:uid="{00000000-0005-0000-0000-000010290000}"/>
    <cellStyle name="Normal 6 3 2 2 3 2 2" xfId="2106" xr:uid="{00000000-0005-0000-0000-000011290000}"/>
    <cellStyle name="Normal 6 3 2 2 3 3" xfId="2107" xr:uid="{00000000-0005-0000-0000-000012290000}"/>
    <cellStyle name="Normal 6 3 2 2 4" xfId="2108" xr:uid="{00000000-0005-0000-0000-000013290000}"/>
    <cellStyle name="Normal 6 3 2 2 4 2" xfId="2109" xr:uid="{00000000-0005-0000-0000-000014290000}"/>
    <cellStyle name="Normal 6 3 2 2 5" xfId="2110" xr:uid="{00000000-0005-0000-0000-000015290000}"/>
    <cellStyle name="Normal 6 3 2 3" xfId="2111" xr:uid="{00000000-0005-0000-0000-000016290000}"/>
    <cellStyle name="Normal 6 3 2 3 2" xfId="2112" xr:uid="{00000000-0005-0000-0000-000017290000}"/>
    <cellStyle name="Normal 6 3 2 3 2 2" xfId="2113" xr:uid="{00000000-0005-0000-0000-000018290000}"/>
    <cellStyle name="Normal 6 3 2 3 2 2 2" xfId="2114" xr:uid="{00000000-0005-0000-0000-000019290000}"/>
    <cellStyle name="Normal 6 3 2 3 2 3" xfId="2115" xr:uid="{00000000-0005-0000-0000-00001A290000}"/>
    <cellStyle name="Normal 6 3 2 3 3" xfId="2116" xr:uid="{00000000-0005-0000-0000-00001B290000}"/>
    <cellStyle name="Normal 6 3 2 3 3 2" xfId="2117" xr:uid="{00000000-0005-0000-0000-00001C290000}"/>
    <cellStyle name="Normal 6 3 2 3 4" xfId="2118" xr:uid="{00000000-0005-0000-0000-00001D290000}"/>
    <cellStyle name="Normal 6 3 2 4" xfId="2119" xr:uid="{00000000-0005-0000-0000-00001E290000}"/>
    <cellStyle name="Normal 6 3 2 4 2" xfId="2120" xr:uid="{00000000-0005-0000-0000-00001F290000}"/>
    <cellStyle name="Normal 6 3 2 4 2 2" xfId="2121" xr:uid="{00000000-0005-0000-0000-000020290000}"/>
    <cellStyle name="Normal 6 3 2 4 3" xfId="2122" xr:uid="{00000000-0005-0000-0000-000021290000}"/>
    <cellStyle name="Normal 6 3 2 5" xfId="2123" xr:uid="{00000000-0005-0000-0000-000022290000}"/>
    <cellStyle name="Normal 6 3 2 5 2" xfId="2124" xr:uid="{00000000-0005-0000-0000-000023290000}"/>
    <cellStyle name="Normal 6 3 2 6" xfId="2125" xr:uid="{00000000-0005-0000-0000-000024290000}"/>
    <cellStyle name="Normal 6 3 3" xfId="2126" xr:uid="{00000000-0005-0000-0000-000025290000}"/>
    <cellStyle name="Normal 6 3 3 2" xfId="2127" xr:uid="{00000000-0005-0000-0000-000026290000}"/>
    <cellStyle name="Normal 6 3 3 2 2" xfId="2128" xr:uid="{00000000-0005-0000-0000-000027290000}"/>
    <cellStyle name="Normal 6 3 3 2 2 2" xfId="2129" xr:uid="{00000000-0005-0000-0000-000028290000}"/>
    <cellStyle name="Normal 6 3 3 2 2 2 2" xfId="2130" xr:uid="{00000000-0005-0000-0000-000029290000}"/>
    <cellStyle name="Normal 6 3 3 2 2 3" xfId="2131" xr:uid="{00000000-0005-0000-0000-00002A290000}"/>
    <cellStyle name="Normal 6 3 3 2 3" xfId="2132" xr:uid="{00000000-0005-0000-0000-00002B290000}"/>
    <cellStyle name="Normal 6 3 3 2 3 2" xfId="2133" xr:uid="{00000000-0005-0000-0000-00002C290000}"/>
    <cellStyle name="Normal 6 3 3 2 4" xfId="2134" xr:uid="{00000000-0005-0000-0000-00002D290000}"/>
    <cellStyle name="Normal 6 3 3 3" xfId="2135" xr:uid="{00000000-0005-0000-0000-00002E290000}"/>
    <cellStyle name="Normal 6 3 3 3 2" xfId="2136" xr:uid="{00000000-0005-0000-0000-00002F290000}"/>
    <cellStyle name="Normal 6 3 3 3 2 2" xfId="2137" xr:uid="{00000000-0005-0000-0000-000030290000}"/>
    <cellStyle name="Normal 6 3 3 3 3" xfId="2138" xr:uid="{00000000-0005-0000-0000-000031290000}"/>
    <cellStyle name="Normal 6 3 3 4" xfId="2139" xr:uid="{00000000-0005-0000-0000-000032290000}"/>
    <cellStyle name="Normal 6 3 3 4 2" xfId="2140" xr:uid="{00000000-0005-0000-0000-000033290000}"/>
    <cellStyle name="Normal 6 3 3 5" xfId="2141" xr:uid="{00000000-0005-0000-0000-000034290000}"/>
    <cellStyle name="Normal 6 3 4" xfId="2142" xr:uid="{00000000-0005-0000-0000-000035290000}"/>
    <cellStyle name="Normal 6 3 4 2" xfId="2143" xr:uid="{00000000-0005-0000-0000-000036290000}"/>
    <cellStyle name="Normal 6 3 4 2 2" xfId="2144" xr:uid="{00000000-0005-0000-0000-000037290000}"/>
    <cellStyle name="Normal 6 3 4 2 2 2" xfId="2145" xr:uid="{00000000-0005-0000-0000-000038290000}"/>
    <cellStyle name="Normal 6 3 4 2 3" xfId="2146" xr:uid="{00000000-0005-0000-0000-000039290000}"/>
    <cellStyle name="Normal 6 3 4 3" xfId="2147" xr:uid="{00000000-0005-0000-0000-00003A290000}"/>
    <cellStyle name="Normal 6 3 4 3 2" xfId="2148" xr:uid="{00000000-0005-0000-0000-00003B290000}"/>
    <cellStyle name="Normal 6 3 4 4" xfId="2149" xr:uid="{00000000-0005-0000-0000-00003C290000}"/>
    <cellStyle name="Normal 6 3 5" xfId="2150" xr:uid="{00000000-0005-0000-0000-00003D290000}"/>
    <cellStyle name="Normal 6 3 5 2" xfId="2151" xr:uid="{00000000-0005-0000-0000-00003E290000}"/>
    <cellStyle name="Normal 6 3 5 2 2" xfId="2152" xr:uid="{00000000-0005-0000-0000-00003F290000}"/>
    <cellStyle name="Normal 6 3 5 3" xfId="2153" xr:uid="{00000000-0005-0000-0000-000040290000}"/>
    <cellStyle name="Normal 6 3 6" xfId="2154" xr:uid="{00000000-0005-0000-0000-000041290000}"/>
    <cellStyle name="Normal 6 3 6 2" xfId="2155" xr:uid="{00000000-0005-0000-0000-000042290000}"/>
    <cellStyle name="Normal 6 3 7" xfId="2156" xr:uid="{00000000-0005-0000-0000-000043290000}"/>
    <cellStyle name="Normal 6 4" xfId="2157" xr:uid="{00000000-0005-0000-0000-000044290000}"/>
    <cellStyle name="Normal 6 4 2" xfId="2158" xr:uid="{00000000-0005-0000-0000-000045290000}"/>
    <cellStyle name="Normal 6 4 2 2" xfId="2159" xr:uid="{00000000-0005-0000-0000-000046290000}"/>
    <cellStyle name="Normal 6 4 2 2 2" xfId="2160" xr:uid="{00000000-0005-0000-0000-000047290000}"/>
    <cellStyle name="Normal 6 4 2 2 2 2" xfId="2161" xr:uid="{00000000-0005-0000-0000-000048290000}"/>
    <cellStyle name="Normal 6 4 2 2 2 2 2" xfId="2162" xr:uid="{00000000-0005-0000-0000-000049290000}"/>
    <cellStyle name="Normal 6 4 2 2 2 3" xfId="2163" xr:uid="{00000000-0005-0000-0000-00004A290000}"/>
    <cellStyle name="Normal 6 4 2 2 3" xfId="2164" xr:uid="{00000000-0005-0000-0000-00004B290000}"/>
    <cellStyle name="Normal 6 4 2 2 3 2" xfId="2165" xr:uid="{00000000-0005-0000-0000-00004C290000}"/>
    <cellStyle name="Normal 6 4 2 2 4" xfId="2166" xr:uid="{00000000-0005-0000-0000-00004D290000}"/>
    <cellStyle name="Normal 6 4 2 3" xfId="2167" xr:uid="{00000000-0005-0000-0000-00004E290000}"/>
    <cellStyle name="Normal 6 4 2 3 2" xfId="2168" xr:uid="{00000000-0005-0000-0000-00004F290000}"/>
    <cellStyle name="Normal 6 4 2 3 2 2" xfId="2169" xr:uid="{00000000-0005-0000-0000-000050290000}"/>
    <cellStyle name="Normal 6 4 2 3 3" xfId="2170" xr:uid="{00000000-0005-0000-0000-000051290000}"/>
    <cellStyle name="Normal 6 4 2 4" xfId="2171" xr:uid="{00000000-0005-0000-0000-000052290000}"/>
    <cellStyle name="Normal 6 4 2 4 2" xfId="2172" xr:uid="{00000000-0005-0000-0000-000053290000}"/>
    <cellStyle name="Normal 6 4 2 5" xfId="2173" xr:uid="{00000000-0005-0000-0000-000054290000}"/>
    <cellStyle name="Normal 6 4 3" xfId="2174" xr:uid="{00000000-0005-0000-0000-000055290000}"/>
    <cellStyle name="Normal 6 4 3 2" xfId="2175" xr:uid="{00000000-0005-0000-0000-000056290000}"/>
    <cellStyle name="Normal 6 4 3 2 2" xfId="2176" xr:uid="{00000000-0005-0000-0000-000057290000}"/>
    <cellStyle name="Normal 6 4 3 2 2 2" xfId="2177" xr:uid="{00000000-0005-0000-0000-000058290000}"/>
    <cellStyle name="Normal 6 4 3 2 3" xfId="2178" xr:uid="{00000000-0005-0000-0000-000059290000}"/>
    <cellStyle name="Normal 6 4 3 3" xfId="2179" xr:uid="{00000000-0005-0000-0000-00005A290000}"/>
    <cellStyle name="Normal 6 4 3 3 2" xfId="2180" xr:uid="{00000000-0005-0000-0000-00005B290000}"/>
    <cellStyle name="Normal 6 4 3 4" xfId="2181" xr:uid="{00000000-0005-0000-0000-00005C290000}"/>
    <cellStyle name="Normal 6 4 4" xfId="2182" xr:uid="{00000000-0005-0000-0000-00005D290000}"/>
    <cellStyle name="Normal 6 4 4 2" xfId="2183" xr:uid="{00000000-0005-0000-0000-00005E290000}"/>
    <cellStyle name="Normal 6 4 4 2 2" xfId="2184" xr:uid="{00000000-0005-0000-0000-00005F290000}"/>
    <cellStyle name="Normal 6 4 4 3" xfId="2185" xr:uid="{00000000-0005-0000-0000-000060290000}"/>
    <cellStyle name="Normal 6 4 5" xfId="2186" xr:uid="{00000000-0005-0000-0000-000061290000}"/>
    <cellStyle name="Normal 6 4 5 2" xfId="2187" xr:uid="{00000000-0005-0000-0000-000062290000}"/>
    <cellStyle name="Normal 6 4 6" xfId="2188" xr:uid="{00000000-0005-0000-0000-000063290000}"/>
    <cellStyle name="Normal 6 5" xfId="2189" xr:uid="{00000000-0005-0000-0000-000064290000}"/>
    <cellStyle name="Normal 6 5 2" xfId="2190" xr:uid="{00000000-0005-0000-0000-000065290000}"/>
    <cellStyle name="Normal 6 5 2 2" xfId="2191" xr:uid="{00000000-0005-0000-0000-000066290000}"/>
    <cellStyle name="Normal 6 5 2 2 2" xfId="2192" xr:uid="{00000000-0005-0000-0000-000067290000}"/>
    <cellStyle name="Normal 6 5 2 2 2 2" xfId="2193" xr:uid="{00000000-0005-0000-0000-000068290000}"/>
    <cellStyle name="Normal 6 5 2 2 3" xfId="2194" xr:uid="{00000000-0005-0000-0000-000069290000}"/>
    <cellStyle name="Normal 6 5 2 3" xfId="2195" xr:uid="{00000000-0005-0000-0000-00006A290000}"/>
    <cellStyle name="Normal 6 5 2 3 2" xfId="2196" xr:uid="{00000000-0005-0000-0000-00006B290000}"/>
    <cellStyle name="Normal 6 5 2 4" xfId="2197" xr:uid="{00000000-0005-0000-0000-00006C290000}"/>
    <cellStyle name="Normal 6 5 3" xfId="2198" xr:uid="{00000000-0005-0000-0000-00006D290000}"/>
    <cellStyle name="Normal 6 5 3 2" xfId="2199" xr:uid="{00000000-0005-0000-0000-00006E290000}"/>
    <cellStyle name="Normal 6 5 3 2 2" xfId="2200" xr:uid="{00000000-0005-0000-0000-00006F290000}"/>
    <cellStyle name="Normal 6 5 3 3" xfId="2201" xr:uid="{00000000-0005-0000-0000-000070290000}"/>
    <cellStyle name="Normal 6 5 4" xfId="2202" xr:uid="{00000000-0005-0000-0000-000071290000}"/>
    <cellStyle name="Normal 6 5 4 2" xfId="2203" xr:uid="{00000000-0005-0000-0000-000072290000}"/>
    <cellStyle name="Normal 6 5 5" xfId="2204" xr:uid="{00000000-0005-0000-0000-000073290000}"/>
    <cellStyle name="Normal 6 6" xfId="2205" xr:uid="{00000000-0005-0000-0000-000074290000}"/>
    <cellStyle name="Normal 6 6 2" xfId="2206" xr:uid="{00000000-0005-0000-0000-000075290000}"/>
    <cellStyle name="Normal 6 6 2 2" xfId="2207" xr:uid="{00000000-0005-0000-0000-000076290000}"/>
    <cellStyle name="Normal 6 6 2 2 2" xfId="2208" xr:uid="{00000000-0005-0000-0000-000077290000}"/>
    <cellStyle name="Normal 6 6 2 3" xfId="2209" xr:uid="{00000000-0005-0000-0000-000078290000}"/>
    <cellStyle name="Normal 6 6 3" xfId="2210" xr:uid="{00000000-0005-0000-0000-000079290000}"/>
    <cellStyle name="Normal 6 6 3 2" xfId="2211" xr:uid="{00000000-0005-0000-0000-00007A290000}"/>
    <cellStyle name="Normal 6 6 4" xfId="2212" xr:uid="{00000000-0005-0000-0000-00007B290000}"/>
    <cellStyle name="Normal 6 7" xfId="2213" xr:uid="{00000000-0005-0000-0000-00007C290000}"/>
    <cellStyle name="Normal 6 7 2" xfId="2214" xr:uid="{00000000-0005-0000-0000-00007D290000}"/>
    <cellStyle name="Normal 6 7 2 2" xfId="2215" xr:uid="{00000000-0005-0000-0000-00007E290000}"/>
    <cellStyle name="Normal 6 7 3" xfId="2216" xr:uid="{00000000-0005-0000-0000-00007F290000}"/>
    <cellStyle name="Normal 6 8" xfId="2217" xr:uid="{00000000-0005-0000-0000-000080290000}"/>
    <cellStyle name="Normal 6 8 10" xfId="11473" xr:uid="{00000000-0005-0000-0000-000081290000}"/>
    <cellStyle name="Normal 6 8 11" xfId="11474" xr:uid="{00000000-0005-0000-0000-000082290000}"/>
    <cellStyle name="Normal 6 8 12" xfId="11475" xr:uid="{00000000-0005-0000-0000-000083290000}"/>
    <cellStyle name="Normal 6 8 13" xfId="11476" xr:uid="{00000000-0005-0000-0000-000084290000}"/>
    <cellStyle name="Normal 6 8 14" xfId="11477" xr:uid="{00000000-0005-0000-0000-000085290000}"/>
    <cellStyle name="Normal 6 8 2" xfId="2218" xr:uid="{00000000-0005-0000-0000-000086290000}"/>
    <cellStyle name="Normal 6 8 2 10" xfId="11478" xr:uid="{00000000-0005-0000-0000-000087290000}"/>
    <cellStyle name="Normal 6 8 2 11" xfId="11479" xr:uid="{00000000-0005-0000-0000-000088290000}"/>
    <cellStyle name="Normal 6 8 2 12" xfId="11480" xr:uid="{00000000-0005-0000-0000-000089290000}"/>
    <cellStyle name="Normal 6 8 2 13" xfId="11481" xr:uid="{00000000-0005-0000-0000-00008A290000}"/>
    <cellStyle name="Normal 6 8 2 2" xfId="11482" xr:uid="{00000000-0005-0000-0000-00008B290000}"/>
    <cellStyle name="Normal 6 8 2 2 10" xfId="11483" xr:uid="{00000000-0005-0000-0000-00008C290000}"/>
    <cellStyle name="Normal 6 8 2 2 11" xfId="11484" xr:uid="{00000000-0005-0000-0000-00008D290000}"/>
    <cellStyle name="Normal 6 8 2 2 12" xfId="11485" xr:uid="{00000000-0005-0000-0000-00008E290000}"/>
    <cellStyle name="Normal 6 8 2 2 2" xfId="11486" xr:uid="{00000000-0005-0000-0000-00008F290000}"/>
    <cellStyle name="Normal 6 8 2 2 2 10" xfId="11487" xr:uid="{00000000-0005-0000-0000-000090290000}"/>
    <cellStyle name="Normal 6 8 2 2 2 11" xfId="11488" xr:uid="{00000000-0005-0000-0000-000091290000}"/>
    <cellStyle name="Normal 6 8 2 2 2 2" xfId="11489" xr:uid="{00000000-0005-0000-0000-000092290000}"/>
    <cellStyle name="Normal 6 8 2 2 2 2 2" xfId="11490" xr:uid="{00000000-0005-0000-0000-000093290000}"/>
    <cellStyle name="Normal 6 8 2 2 2 2 2 2" xfId="11491" xr:uid="{00000000-0005-0000-0000-000094290000}"/>
    <cellStyle name="Normal 6 8 2 2 2 2 2 3" xfId="11492" xr:uid="{00000000-0005-0000-0000-000095290000}"/>
    <cellStyle name="Normal 6 8 2 2 2 2 3" xfId="11493" xr:uid="{00000000-0005-0000-0000-000096290000}"/>
    <cellStyle name="Normal 6 8 2 2 2 2 3 2" xfId="11494" xr:uid="{00000000-0005-0000-0000-000097290000}"/>
    <cellStyle name="Normal 6 8 2 2 2 2 4" xfId="11495" xr:uid="{00000000-0005-0000-0000-000098290000}"/>
    <cellStyle name="Normal 6 8 2 2 2 2 5" xfId="11496" xr:uid="{00000000-0005-0000-0000-000099290000}"/>
    <cellStyle name="Normal 6 8 2 2 2 2 6" xfId="11497" xr:uid="{00000000-0005-0000-0000-00009A290000}"/>
    <cellStyle name="Normal 6 8 2 2 2 2 7" xfId="11498" xr:uid="{00000000-0005-0000-0000-00009B290000}"/>
    <cellStyle name="Normal 6 8 2 2 2 2 8" xfId="11499" xr:uid="{00000000-0005-0000-0000-00009C290000}"/>
    <cellStyle name="Normal 6 8 2 2 2 3" xfId="11500" xr:uid="{00000000-0005-0000-0000-00009D290000}"/>
    <cellStyle name="Normal 6 8 2 2 2 3 2" xfId="11501" xr:uid="{00000000-0005-0000-0000-00009E290000}"/>
    <cellStyle name="Normal 6 8 2 2 2 3 2 2" xfId="11502" xr:uid="{00000000-0005-0000-0000-00009F290000}"/>
    <cellStyle name="Normal 6 8 2 2 2 3 3" xfId="11503" xr:uid="{00000000-0005-0000-0000-0000A0290000}"/>
    <cellStyle name="Normal 6 8 2 2 2 3 4" xfId="11504" xr:uid="{00000000-0005-0000-0000-0000A1290000}"/>
    <cellStyle name="Normal 6 8 2 2 2 4" xfId="11505" xr:uid="{00000000-0005-0000-0000-0000A2290000}"/>
    <cellStyle name="Normal 6 8 2 2 2 4 2" xfId="11506" xr:uid="{00000000-0005-0000-0000-0000A3290000}"/>
    <cellStyle name="Normal 6 8 2 2 2 5" xfId="11507" xr:uid="{00000000-0005-0000-0000-0000A4290000}"/>
    <cellStyle name="Normal 6 8 2 2 2 5 2" xfId="11508" xr:uid="{00000000-0005-0000-0000-0000A5290000}"/>
    <cellStyle name="Normal 6 8 2 2 2 6" xfId="11509" xr:uid="{00000000-0005-0000-0000-0000A6290000}"/>
    <cellStyle name="Normal 6 8 2 2 2 6 2" xfId="11510" xr:uid="{00000000-0005-0000-0000-0000A7290000}"/>
    <cellStyle name="Normal 6 8 2 2 2 7" xfId="11511" xr:uid="{00000000-0005-0000-0000-0000A8290000}"/>
    <cellStyle name="Normal 6 8 2 2 2 8" xfId="11512" xr:uid="{00000000-0005-0000-0000-0000A9290000}"/>
    <cellStyle name="Normal 6 8 2 2 2 9" xfId="11513" xr:uid="{00000000-0005-0000-0000-0000AA290000}"/>
    <cellStyle name="Normal 6 8 2 2 3" xfId="11514" xr:uid="{00000000-0005-0000-0000-0000AB290000}"/>
    <cellStyle name="Normal 6 8 2 2 3 2" xfId="11515" xr:uid="{00000000-0005-0000-0000-0000AC290000}"/>
    <cellStyle name="Normal 6 8 2 2 3 2 2" xfId="11516" xr:uid="{00000000-0005-0000-0000-0000AD290000}"/>
    <cellStyle name="Normal 6 8 2 2 3 2 3" xfId="11517" xr:uid="{00000000-0005-0000-0000-0000AE290000}"/>
    <cellStyle name="Normal 6 8 2 2 3 3" xfId="11518" xr:uid="{00000000-0005-0000-0000-0000AF290000}"/>
    <cellStyle name="Normal 6 8 2 2 3 3 2" xfId="11519" xr:uid="{00000000-0005-0000-0000-0000B0290000}"/>
    <cellStyle name="Normal 6 8 2 2 3 4" xfId="11520" xr:uid="{00000000-0005-0000-0000-0000B1290000}"/>
    <cellStyle name="Normal 6 8 2 2 3 5" xfId="11521" xr:uid="{00000000-0005-0000-0000-0000B2290000}"/>
    <cellStyle name="Normal 6 8 2 2 3 6" xfId="11522" xr:uid="{00000000-0005-0000-0000-0000B3290000}"/>
    <cellStyle name="Normal 6 8 2 2 3 7" xfId="11523" xr:uid="{00000000-0005-0000-0000-0000B4290000}"/>
    <cellStyle name="Normal 6 8 2 2 3 8" xfId="11524" xr:uid="{00000000-0005-0000-0000-0000B5290000}"/>
    <cellStyle name="Normal 6 8 2 2 4" xfId="11525" xr:uid="{00000000-0005-0000-0000-0000B6290000}"/>
    <cellStyle name="Normal 6 8 2 2 4 2" xfId="11526" xr:uid="{00000000-0005-0000-0000-0000B7290000}"/>
    <cellStyle name="Normal 6 8 2 2 4 2 2" xfId="11527" xr:uid="{00000000-0005-0000-0000-0000B8290000}"/>
    <cellStyle name="Normal 6 8 2 2 4 3" xfId="11528" xr:uid="{00000000-0005-0000-0000-0000B9290000}"/>
    <cellStyle name="Normal 6 8 2 2 4 4" xfId="11529" xr:uid="{00000000-0005-0000-0000-0000BA290000}"/>
    <cellStyle name="Normal 6 8 2 2 5" xfId="11530" xr:uid="{00000000-0005-0000-0000-0000BB290000}"/>
    <cellStyle name="Normal 6 8 2 2 5 2" xfId="11531" xr:uid="{00000000-0005-0000-0000-0000BC290000}"/>
    <cellStyle name="Normal 6 8 2 2 6" xfId="11532" xr:uid="{00000000-0005-0000-0000-0000BD290000}"/>
    <cellStyle name="Normal 6 8 2 2 6 2" xfId="11533" xr:uid="{00000000-0005-0000-0000-0000BE290000}"/>
    <cellStyle name="Normal 6 8 2 2 7" xfId="11534" xr:uid="{00000000-0005-0000-0000-0000BF290000}"/>
    <cellStyle name="Normal 6 8 2 2 7 2" xfId="11535" xr:uid="{00000000-0005-0000-0000-0000C0290000}"/>
    <cellStyle name="Normal 6 8 2 2 8" xfId="11536" xr:uid="{00000000-0005-0000-0000-0000C1290000}"/>
    <cellStyle name="Normal 6 8 2 2 9" xfId="11537" xr:uid="{00000000-0005-0000-0000-0000C2290000}"/>
    <cellStyle name="Normal 6 8 2 3" xfId="11538" xr:uid="{00000000-0005-0000-0000-0000C3290000}"/>
    <cellStyle name="Normal 6 8 2 3 10" xfId="11539" xr:uid="{00000000-0005-0000-0000-0000C4290000}"/>
    <cellStyle name="Normal 6 8 2 3 11" xfId="11540" xr:uid="{00000000-0005-0000-0000-0000C5290000}"/>
    <cellStyle name="Normal 6 8 2 3 2" xfId="11541" xr:uid="{00000000-0005-0000-0000-0000C6290000}"/>
    <cellStyle name="Normal 6 8 2 3 2 2" xfId="11542" xr:uid="{00000000-0005-0000-0000-0000C7290000}"/>
    <cellStyle name="Normal 6 8 2 3 2 2 2" xfId="11543" xr:uid="{00000000-0005-0000-0000-0000C8290000}"/>
    <cellStyle name="Normal 6 8 2 3 2 2 3" xfId="11544" xr:uid="{00000000-0005-0000-0000-0000C9290000}"/>
    <cellStyle name="Normal 6 8 2 3 2 3" xfId="11545" xr:uid="{00000000-0005-0000-0000-0000CA290000}"/>
    <cellStyle name="Normal 6 8 2 3 2 3 2" xfId="11546" xr:uid="{00000000-0005-0000-0000-0000CB290000}"/>
    <cellStyle name="Normal 6 8 2 3 2 4" xfId="11547" xr:uid="{00000000-0005-0000-0000-0000CC290000}"/>
    <cellStyle name="Normal 6 8 2 3 2 5" xfId="11548" xr:uid="{00000000-0005-0000-0000-0000CD290000}"/>
    <cellStyle name="Normal 6 8 2 3 2 6" xfId="11549" xr:uid="{00000000-0005-0000-0000-0000CE290000}"/>
    <cellStyle name="Normal 6 8 2 3 2 7" xfId="11550" xr:uid="{00000000-0005-0000-0000-0000CF290000}"/>
    <cellStyle name="Normal 6 8 2 3 2 8" xfId="11551" xr:uid="{00000000-0005-0000-0000-0000D0290000}"/>
    <cellStyle name="Normal 6 8 2 3 3" xfId="11552" xr:uid="{00000000-0005-0000-0000-0000D1290000}"/>
    <cellStyle name="Normal 6 8 2 3 3 2" xfId="11553" xr:uid="{00000000-0005-0000-0000-0000D2290000}"/>
    <cellStyle name="Normal 6 8 2 3 3 2 2" xfId="11554" xr:uid="{00000000-0005-0000-0000-0000D3290000}"/>
    <cellStyle name="Normal 6 8 2 3 3 3" xfId="11555" xr:uid="{00000000-0005-0000-0000-0000D4290000}"/>
    <cellStyle name="Normal 6 8 2 3 3 4" xfId="11556" xr:uid="{00000000-0005-0000-0000-0000D5290000}"/>
    <cellStyle name="Normal 6 8 2 3 4" xfId="11557" xr:uid="{00000000-0005-0000-0000-0000D6290000}"/>
    <cellStyle name="Normal 6 8 2 3 4 2" xfId="11558" xr:uid="{00000000-0005-0000-0000-0000D7290000}"/>
    <cellStyle name="Normal 6 8 2 3 5" xfId="11559" xr:uid="{00000000-0005-0000-0000-0000D8290000}"/>
    <cellStyle name="Normal 6 8 2 3 5 2" xfId="11560" xr:uid="{00000000-0005-0000-0000-0000D9290000}"/>
    <cellStyle name="Normal 6 8 2 3 6" xfId="11561" xr:uid="{00000000-0005-0000-0000-0000DA290000}"/>
    <cellStyle name="Normal 6 8 2 3 6 2" xfId="11562" xr:uid="{00000000-0005-0000-0000-0000DB290000}"/>
    <cellStyle name="Normal 6 8 2 3 7" xfId="11563" xr:uid="{00000000-0005-0000-0000-0000DC290000}"/>
    <cellStyle name="Normal 6 8 2 3 8" xfId="11564" xr:uid="{00000000-0005-0000-0000-0000DD290000}"/>
    <cellStyle name="Normal 6 8 2 3 9" xfId="11565" xr:uid="{00000000-0005-0000-0000-0000DE290000}"/>
    <cellStyle name="Normal 6 8 2 4" xfId="11566" xr:uid="{00000000-0005-0000-0000-0000DF290000}"/>
    <cellStyle name="Normal 6 8 2 4 2" xfId="11567" xr:uid="{00000000-0005-0000-0000-0000E0290000}"/>
    <cellStyle name="Normal 6 8 2 4 2 2" xfId="11568" xr:uid="{00000000-0005-0000-0000-0000E1290000}"/>
    <cellStyle name="Normal 6 8 2 4 2 3" xfId="11569" xr:uid="{00000000-0005-0000-0000-0000E2290000}"/>
    <cellStyle name="Normal 6 8 2 4 3" xfId="11570" xr:uid="{00000000-0005-0000-0000-0000E3290000}"/>
    <cellStyle name="Normal 6 8 2 4 3 2" xfId="11571" xr:uid="{00000000-0005-0000-0000-0000E4290000}"/>
    <cellStyle name="Normal 6 8 2 4 4" xfId="11572" xr:uid="{00000000-0005-0000-0000-0000E5290000}"/>
    <cellStyle name="Normal 6 8 2 4 5" xfId="11573" xr:uid="{00000000-0005-0000-0000-0000E6290000}"/>
    <cellStyle name="Normal 6 8 2 4 6" xfId="11574" xr:uid="{00000000-0005-0000-0000-0000E7290000}"/>
    <cellStyle name="Normal 6 8 2 4 7" xfId="11575" xr:uid="{00000000-0005-0000-0000-0000E8290000}"/>
    <cellStyle name="Normal 6 8 2 4 8" xfId="11576" xr:uid="{00000000-0005-0000-0000-0000E9290000}"/>
    <cellStyle name="Normal 6 8 2 5" xfId="11577" xr:uid="{00000000-0005-0000-0000-0000EA290000}"/>
    <cellStyle name="Normal 6 8 2 5 2" xfId="11578" xr:uid="{00000000-0005-0000-0000-0000EB290000}"/>
    <cellStyle name="Normal 6 8 2 5 2 2" xfId="11579" xr:uid="{00000000-0005-0000-0000-0000EC290000}"/>
    <cellStyle name="Normal 6 8 2 5 3" xfId="11580" xr:uid="{00000000-0005-0000-0000-0000ED290000}"/>
    <cellStyle name="Normal 6 8 2 5 4" xfId="11581" xr:uid="{00000000-0005-0000-0000-0000EE290000}"/>
    <cellStyle name="Normal 6 8 2 6" xfId="11582" xr:uid="{00000000-0005-0000-0000-0000EF290000}"/>
    <cellStyle name="Normal 6 8 2 6 2" xfId="11583" xr:uid="{00000000-0005-0000-0000-0000F0290000}"/>
    <cellStyle name="Normal 6 8 2 7" xfId="11584" xr:uid="{00000000-0005-0000-0000-0000F1290000}"/>
    <cellStyle name="Normal 6 8 2 7 2" xfId="11585" xr:uid="{00000000-0005-0000-0000-0000F2290000}"/>
    <cellStyle name="Normal 6 8 2 8" xfId="11586" xr:uid="{00000000-0005-0000-0000-0000F3290000}"/>
    <cellStyle name="Normal 6 8 2 8 2" xfId="11587" xr:uid="{00000000-0005-0000-0000-0000F4290000}"/>
    <cellStyle name="Normal 6 8 2 9" xfId="11588" xr:uid="{00000000-0005-0000-0000-0000F5290000}"/>
    <cellStyle name="Normal 6 8 3" xfId="11589" xr:uid="{00000000-0005-0000-0000-0000F6290000}"/>
    <cellStyle name="Normal 6 8 3 10" xfId="11590" xr:uid="{00000000-0005-0000-0000-0000F7290000}"/>
    <cellStyle name="Normal 6 8 3 11" xfId="11591" xr:uid="{00000000-0005-0000-0000-0000F8290000}"/>
    <cellStyle name="Normal 6 8 3 12" xfId="11592" xr:uid="{00000000-0005-0000-0000-0000F9290000}"/>
    <cellStyle name="Normal 6 8 3 2" xfId="11593" xr:uid="{00000000-0005-0000-0000-0000FA290000}"/>
    <cellStyle name="Normal 6 8 3 2 10" xfId="11594" xr:uid="{00000000-0005-0000-0000-0000FB290000}"/>
    <cellStyle name="Normal 6 8 3 2 11" xfId="11595" xr:uid="{00000000-0005-0000-0000-0000FC290000}"/>
    <cellStyle name="Normal 6 8 3 2 2" xfId="11596" xr:uid="{00000000-0005-0000-0000-0000FD290000}"/>
    <cellStyle name="Normal 6 8 3 2 2 2" xfId="11597" xr:uid="{00000000-0005-0000-0000-0000FE290000}"/>
    <cellStyle name="Normal 6 8 3 2 2 2 2" xfId="11598" xr:uid="{00000000-0005-0000-0000-0000FF290000}"/>
    <cellStyle name="Normal 6 8 3 2 2 2 3" xfId="11599" xr:uid="{00000000-0005-0000-0000-0000002A0000}"/>
    <cellStyle name="Normal 6 8 3 2 2 3" xfId="11600" xr:uid="{00000000-0005-0000-0000-0000012A0000}"/>
    <cellStyle name="Normal 6 8 3 2 2 3 2" xfId="11601" xr:uid="{00000000-0005-0000-0000-0000022A0000}"/>
    <cellStyle name="Normal 6 8 3 2 2 4" xfId="11602" xr:uid="{00000000-0005-0000-0000-0000032A0000}"/>
    <cellStyle name="Normal 6 8 3 2 2 5" xfId="11603" xr:uid="{00000000-0005-0000-0000-0000042A0000}"/>
    <cellStyle name="Normal 6 8 3 2 2 6" xfId="11604" xr:uid="{00000000-0005-0000-0000-0000052A0000}"/>
    <cellStyle name="Normal 6 8 3 2 2 7" xfId="11605" xr:uid="{00000000-0005-0000-0000-0000062A0000}"/>
    <cellStyle name="Normal 6 8 3 2 2 8" xfId="11606" xr:uid="{00000000-0005-0000-0000-0000072A0000}"/>
    <cellStyle name="Normal 6 8 3 2 3" xfId="11607" xr:uid="{00000000-0005-0000-0000-0000082A0000}"/>
    <cellStyle name="Normal 6 8 3 2 3 2" xfId="11608" xr:uid="{00000000-0005-0000-0000-0000092A0000}"/>
    <cellStyle name="Normal 6 8 3 2 3 2 2" xfId="11609" xr:uid="{00000000-0005-0000-0000-00000A2A0000}"/>
    <cellStyle name="Normal 6 8 3 2 3 3" xfId="11610" xr:uid="{00000000-0005-0000-0000-00000B2A0000}"/>
    <cellStyle name="Normal 6 8 3 2 3 4" xfId="11611" xr:uid="{00000000-0005-0000-0000-00000C2A0000}"/>
    <cellStyle name="Normal 6 8 3 2 4" xfId="11612" xr:uid="{00000000-0005-0000-0000-00000D2A0000}"/>
    <cellStyle name="Normal 6 8 3 2 4 2" xfId="11613" xr:uid="{00000000-0005-0000-0000-00000E2A0000}"/>
    <cellStyle name="Normal 6 8 3 2 5" xfId="11614" xr:uid="{00000000-0005-0000-0000-00000F2A0000}"/>
    <cellStyle name="Normal 6 8 3 2 5 2" xfId="11615" xr:uid="{00000000-0005-0000-0000-0000102A0000}"/>
    <cellStyle name="Normal 6 8 3 2 6" xfId="11616" xr:uid="{00000000-0005-0000-0000-0000112A0000}"/>
    <cellStyle name="Normal 6 8 3 2 6 2" xfId="11617" xr:uid="{00000000-0005-0000-0000-0000122A0000}"/>
    <cellStyle name="Normal 6 8 3 2 7" xfId="11618" xr:uid="{00000000-0005-0000-0000-0000132A0000}"/>
    <cellStyle name="Normal 6 8 3 2 8" xfId="11619" xr:uid="{00000000-0005-0000-0000-0000142A0000}"/>
    <cellStyle name="Normal 6 8 3 2 9" xfId="11620" xr:uid="{00000000-0005-0000-0000-0000152A0000}"/>
    <cellStyle name="Normal 6 8 3 3" xfId="11621" xr:uid="{00000000-0005-0000-0000-0000162A0000}"/>
    <cellStyle name="Normal 6 8 3 3 2" xfId="11622" xr:uid="{00000000-0005-0000-0000-0000172A0000}"/>
    <cellStyle name="Normal 6 8 3 3 2 2" xfId="11623" xr:uid="{00000000-0005-0000-0000-0000182A0000}"/>
    <cellStyle name="Normal 6 8 3 3 2 3" xfId="11624" xr:uid="{00000000-0005-0000-0000-0000192A0000}"/>
    <cellStyle name="Normal 6 8 3 3 3" xfId="11625" xr:uid="{00000000-0005-0000-0000-00001A2A0000}"/>
    <cellStyle name="Normal 6 8 3 3 3 2" xfId="11626" xr:uid="{00000000-0005-0000-0000-00001B2A0000}"/>
    <cellStyle name="Normal 6 8 3 3 4" xfId="11627" xr:uid="{00000000-0005-0000-0000-00001C2A0000}"/>
    <cellStyle name="Normal 6 8 3 3 5" xfId="11628" xr:uid="{00000000-0005-0000-0000-00001D2A0000}"/>
    <cellStyle name="Normal 6 8 3 3 6" xfId="11629" xr:uid="{00000000-0005-0000-0000-00001E2A0000}"/>
    <cellStyle name="Normal 6 8 3 3 7" xfId="11630" xr:uid="{00000000-0005-0000-0000-00001F2A0000}"/>
    <cellStyle name="Normal 6 8 3 3 8" xfId="11631" xr:uid="{00000000-0005-0000-0000-0000202A0000}"/>
    <cellStyle name="Normal 6 8 3 4" xfId="11632" xr:uid="{00000000-0005-0000-0000-0000212A0000}"/>
    <cellStyle name="Normal 6 8 3 4 2" xfId="11633" xr:uid="{00000000-0005-0000-0000-0000222A0000}"/>
    <cellStyle name="Normal 6 8 3 4 2 2" xfId="11634" xr:uid="{00000000-0005-0000-0000-0000232A0000}"/>
    <cellStyle name="Normal 6 8 3 4 3" xfId="11635" xr:uid="{00000000-0005-0000-0000-0000242A0000}"/>
    <cellStyle name="Normal 6 8 3 4 4" xfId="11636" xr:uid="{00000000-0005-0000-0000-0000252A0000}"/>
    <cellStyle name="Normal 6 8 3 5" xfId="11637" xr:uid="{00000000-0005-0000-0000-0000262A0000}"/>
    <cellStyle name="Normal 6 8 3 5 2" xfId="11638" xr:uid="{00000000-0005-0000-0000-0000272A0000}"/>
    <cellStyle name="Normal 6 8 3 6" xfId="11639" xr:uid="{00000000-0005-0000-0000-0000282A0000}"/>
    <cellStyle name="Normal 6 8 3 6 2" xfId="11640" xr:uid="{00000000-0005-0000-0000-0000292A0000}"/>
    <cellStyle name="Normal 6 8 3 7" xfId="11641" xr:uid="{00000000-0005-0000-0000-00002A2A0000}"/>
    <cellStyle name="Normal 6 8 3 7 2" xfId="11642" xr:uid="{00000000-0005-0000-0000-00002B2A0000}"/>
    <cellStyle name="Normal 6 8 3 8" xfId="11643" xr:uid="{00000000-0005-0000-0000-00002C2A0000}"/>
    <cellStyle name="Normal 6 8 3 9" xfId="11644" xr:uid="{00000000-0005-0000-0000-00002D2A0000}"/>
    <cellStyle name="Normal 6 8 4" xfId="11645" xr:uid="{00000000-0005-0000-0000-00002E2A0000}"/>
    <cellStyle name="Normal 6 8 4 10" xfId="11646" xr:uid="{00000000-0005-0000-0000-00002F2A0000}"/>
    <cellStyle name="Normal 6 8 4 11" xfId="11647" xr:uid="{00000000-0005-0000-0000-0000302A0000}"/>
    <cellStyle name="Normal 6 8 4 2" xfId="11648" xr:uid="{00000000-0005-0000-0000-0000312A0000}"/>
    <cellStyle name="Normal 6 8 4 2 2" xfId="11649" xr:uid="{00000000-0005-0000-0000-0000322A0000}"/>
    <cellStyle name="Normal 6 8 4 2 2 2" xfId="11650" xr:uid="{00000000-0005-0000-0000-0000332A0000}"/>
    <cellStyle name="Normal 6 8 4 2 2 3" xfId="11651" xr:uid="{00000000-0005-0000-0000-0000342A0000}"/>
    <cellStyle name="Normal 6 8 4 2 3" xfId="11652" xr:uid="{00000000-0005-0000-0000-0000352A0000}"/>
    <cellStyle name="Normal 6 8 4 2 3 2" xfId="11653" xr:uid="{00000000-0005-0000-0000-0000362A0000}"/>
    <cellStyle name="Normal 6 8 4 2 4" xfId="11654" xr:uid="{00000000-0005-0000-0000-0000372A0000}"/>
    <cellStyle name="Normal 6 8 4 2 5" xfId="11655" xr:uid="{00000000-0005-0000-0000-0000382A0000}"/>
    <cellStyle name="Normal 6 8 4 2 6" xfId="11656" xr:uid="{00000000-0005-0000-0000-0000392A0000}"/>
    <cellStyle name="Normal 6 8 4 2 7" xfId="11657" xr:uid="{00000000-0005-0000-0000-00003A2A0000}"/>
    <cellStyle name="Normal 6 8 4 2 8" xfId="11658" xr:uid="{00000000-0005-0000-0000-00003B2A0000}"/>
    <cellStyle name="Normal 6 8 4 3" xfId="11659" xr:uid="{00000000-0005-0000-0000-00003C2A0000}"/>
    <cellStyle name="Normal 6 8 4 3 2" xfId="11660" xr:uid="{00000000-0005-0000-0000-00003D2A0000}"/>
    <cellStyle name="Normal 6 8 4 3 2 2" xfId="11661" xr:uid="{00000000-0005-0000-0000-00003E2A0000}"/>
    <cellStyle name="Normal 6 8 4 3 3" xfId="11662" xr:uid="{00000000-0005-0000-0000-00003F2A0000}"/>
    <cellStyle name="Normal 6 8 4 3 4" xfId="11663" xr:uid="{00000000-0005-0000-0000-0000402A0000}"/>
    <cellStyle name="Normal 6 8 4 4" xfId="11664" xr:uid="{00000000-0005-0000-0000-0000412A0000}"/>
    <cellStyle name="Normal 6 8 4 4 2" xfId="11665" xr:uid="{00000000-0005-0000-0000-0000422A0000}"/>
    <cellStyle name="Normal 6 8 4 5" xfId="11666" xr:uid="{00000000-0005-0000-0000-0000432A0000}"/>
    <cellStyle name="Normal 6 8 4 5 2" xfId="11667" xr:uid="{00000000-0005-0000-0000-0000442A0000}"/>
    <cellStyle name="Normal 6 8 4 6" xfId="11668" xr:uid="{00000000-0005-0000-0000-0000452A0000}"/>
    <cellStyle name="Normal 6 8 4 6 2" xfId="11669" xr:uid="{00000000-0005-0000-0000-0000462A0000}"/>
    <cellStyle name="Normal 6 8 4 7" xfId="11670" xr:uid="{00000000-0005-0000-0000-0000472A0000}"/>
    <cellStyle name="Normal 6 8 4 8" xfId="11671" xr:uid="{00000000-0005-0000-0000-0000482A0000}"/>
    <cellStyle name="Normal 6 8 4 9" xfId="11672" xr:uid="{00000000-0005-0000-0000-0000492A0000}"/>
    <cellStyle name="Normal 6 8 5" xfId="11673" xr:uid="{00000000-0005-0000-0000-00004A2A0000}"/>
    <cellStyle name="Normal 6 8 5 2" xfId="11674" xr:uid="{00000000-0005-0000-0000-00004B2A0000}"/>
    <cellStyle name="Normal 6 8 5 2 2" xfId="11675" xr:uid="{00000000-0005-0000-0000-00004C2A0000}"/>
    <cellStyle name="Normal 6 8 5 2 3" xfId="11676" xr:uid="{00000000-0005-0000-0000-00004D2A0000}"/>
    <cellStyle name="Normal 6 8 5 3" xfId="11677" xr:uid="{00000000-0005-0000-0000-00004E2A0000}"/>
    <cellStyle name="Normal 6 8 5 3 2" xfId="11678" xr:uid="{00000000-0005-0000-0000-00004F2A0000}"/>
    <cellStyle name="Normal 6 8 5 4" xfId="11679" xr:uid="{00000000-0005-0000-0000-0000502A0000}"/>
    <cellStyle name="Normal 6 8 5 5" xfId="11680" xr:uid="{00000000-0005-0000-0000-0000512A0000}"/>
    <cellStyle name="Normal 6 8 5 6" xfId="11681" xr:uid="{00000000-0005-0000-0000-0000522A0000}"/>
    <cellStyle name="Normal 6 8 5 7" xfId="11682" xr:uid="{00000000-0005-0000-0000-0000532A0000}"/>
    <cellStyle name="Normal 6 8 5 8" xfId="11683" xr:uid="{00000000-0005-0000-0000-0000542A0000}"/>
    <cellStyle name="Normal 6 8 6" xfId="11684" xr:uid="{00000000-0005-0000-0000-0000552A0000}"/>
    <cellStyle name="Normal 6 8 6 2" xfId="11685" xr:uid="{00000000-0005-0000-0000-0000562A0000}"/>
    <cellStyle name="Normal 6 8 6 2 2" xfId="11686" xr:uid="{00000000-0005-0000-0000-0000572A0000}"/>
    <cellStyle name="Normal 6 8 6 3" xfId="11687" xr:uid="{00000000-0005-0000-0000-0000582A0000}"/>
    <cellStyle name="Normal 6 8 6 4" xfId="11688" xr:uid="{00000000-0005-0000-0000-0000592A0000}"/>
    <cellStyle name="Normal 6 8 7" xfId="11689" xr:uid="{00000000-0005-0000-0000-00005A2A0000}"/>
    <cellStyle name="Normal 6 8 7 2" xfId="11690" xr:uid="{00000000-0005-0000-0000-00005B2A0000}"/>
    <cellStyle name="Normal 6 8 8" xfId="11691" xr:uid="{00000000-0005-0000-0000-00005C2A0000}"/>
    <cellStyle name="Normal 6 8 8 2" xfId="11692" xr:uid="{00000000-0005-0000-0000-00005D2A0000}"/>
    <cellStyle name="Normal 6 8 9" xfId="11693" xr:uid="{00000000-0005-0000-0000-00005E2A0000}"/>
    <cellStyle name="Normal 6 8 9 2" xfId="11694" xr:uid="{00000000-0005-0000-0000-00005F2A0000}"/>
    <cellStyle name="Normal 6 9" xfId="2219" xr:uid="{00000000-0005-0000-0000-0000602A0000}"/>
    <cellStyle name="Normal 6_Book3" xfId="11695" xr:uid="{00000000-0005-0000-0000-0000612A0000}"/>
    <cellStyle name="Normal 60" xfId="11696" xr:uid="{00000000-0005-0000-0000-0000622A0000}"/>
    <cellStyle name="Normal 60 2" xfId="11697" xr:uid="{00000000-0005-0000-0000-0000632A0000}"/>
    <cellStyle name="Normal 61" xfId="11698" xr:uid="{00000000-0005-0000-0000-0000642A0000}"/>
    <cellStyle name="Normal 61 2" xfId="11699" xr:uid="{00000000-0005-0000-0000-0000652A0000}"/>
    <cellStyle name="Normal 62" xfId="11700" xr:uid="{00000000-0005-0000-0000-0000662A0000}"/>
    <cellStyle name="Normal 62 2" xfId="11701" xr:uid="{00000000-0005-0000-0000-0000672A0000}"/>
    <cellStyle name="Normal 63" xfId="11702" xr:uid="{00000000-0005-0000-0000-0000682A0000}"/>
    <cellStyle name="Normal 63 2" xfId="11703" xr:uid="{00000000-0005-0000-0000-0000692A0000}"/>
    <cellStyle name="Normal 64" xfId="11704" xr:uid="{00000000-0005-0000-0000-00006A2A0000}"/>
    <cellStyle name="Normal 64 2" xfId="11705" xr:uid="{00000000-0005-0000-0000-00006B2A0000}"/>
    <cellStyle name="Normal 64 3" xfId="11706" xr:uid="{00000000-0005-0000-0000-00006C2A0000}"/>
    <cellStyle name="Normal 65" xfId="11707" xr:uid="{00000000-0005-0000-0000-00006D2A0000}"/>
    <cellStyle name="Normal 65 2" xfId="11708" xr:uid="{00000000-0005-0000-0000-00006E2A0000}"/>
    <cellStyle name="Normal 66" xfId="11709" xr:uid="{00000000-0005-0000-0000-00006F2A0000}"/>
    <cellStyle name="Normal 67" xfId="11710" xr:uid="{00000000-0005-0000-0000-0000702A0000}"/>
    <cellStyle name="Normal 67 2" xfId="11711" xr:uid="{00000000-0005-0000-0000-0000712A0000}"/>
    <cellStyle name="Normal 68" xfId="11712" xr:uid="{00000000-0005-0000-0000-0000722A0000}"/>
    <cellStyle name="Normal 68 2" xfId="11713" xr:uid="{00000000-0005-0000-0000-0000732A0000}"/>
    <cellStyle name="Normal 69" xfId="11714" xr:uid="{00000000-0005-0000-0000-0000742A0000}"/>
    <cellStyle name="Normal 7" xfId="2220" xr:uid="{00000000-0005-0000-0000-0000752A0000}"/>
    <cellStyle name="Normal 7 10" xfId="11715" xr:uid="{00000000-0005-0000-0000-0000762A0000}"/>
    <cellStyle name="Normal 7 10 10" xfId="11716" xr:uid="{00000000-0005-0000-0000-0000772A0000}"/>
    <cellStyle name="Normal 7 10 11" xfId="11717" xr:uid="{00000000-0005-0000-0000-0000782A0000}"/>
    <cellStyle name="Normal 7 10 12" xfId="11718" xr:uid="{00000000-0005-0000-0000-0000792A0000}"/>
    <cellStyle name="Normal 7 10 13" xfId="11719" xr:uid="{00000000-0005-0000-0000-00007A2A0000}"/>
    <cellStyle name="Normal 7 10 2" xfId="11720" xr:uid="{00000000-0005-0000-0000-00007B2A0000}"/>
    <cellStyle name="Normal 7 10 2 10" xfId="11721" xr:uid="{00000000-0005-0000-0000-00007C2A0000}"/>
    <cellStyle name="Normal 7 10 2 11" xfId="11722" xr:uid="{00000000-0005-0000-0000-00007D2A0000}"/>
    <cellStyle name="Normal 7 10 2 12" xfId="11723" xr:uid="{00000000-0005-0000-0000-00007E2A0000}"/>
    <cellStyle name="Normal 7 10 2 2" xfId="11724" xr:uid="{00000000-0005-0000-0000-00007F2A0000}"/>
    <cellStyle name="Normal 7 10 2 2 10" xfId="11725" xr:uid="{00000000-0005-0000-0000-0000802A0000}"/>
    <cellStyle name="Normal 7 10 2 2 11" xfId="11726" xr:uid="{00000000-0005-0000-0000-0000812A0000}"/>
    <cellStyle name="Normal 7 10 2 2 2" xfId="11727" xr:uid="{00000000-0005-0000-0000-0000822A0000}"/>
    <cellStyle name="Normal 7 10 2 2 2 2" xfId="11728" xr:uid="{00000000-0005-0000-0000-0000832A0000}"/>
    <cellStyle name="Normal 7 10 2 2 2 2 2" xfId="11729" xr:uid="{00000000-0005-0000-0000-0000842A0000}"/>
    <cellStyle name="Normal 7 10 2 2 2 2 3" xfId="11730" xr:uid="{00000000-0005-0000-0000-0000852A0000}"/>
    <cellStyle name="Normal 7 10 2 2 2 3" xfId="11731" xr:uid="{00000000-0005-0000-0000-0000862A0000}"/>
    <cellStyle name="Normal 7 10 2 2 2 3 2" xfId="11732" xr:uid="{00000000-0005-0000-0000-0000872A0000}"/>
    <cellStyle name="Normal 7 10 2 2 2 4" xfId="11733" xr:uid="{00000000-0005-0000-0000-0000882A0000}"/>
    <cellStyle name="Normal 7 10 2 2 2 5" xfId="11734" xr:uid="{00000000-0005-0000-0000-0000892A0000}"/>
    <cellStyle name="Normal 7 10 2 2 2 6" xfId="11735" xr:uid="{00000000-0005-0000-0000-00008A2A0000}"/>
    <cellStyle name="Normal 7 10 2 2 2 7" xfId="11736" xr:uid="{00000000-0005-0000-0000-00008B2A0000}"/>
    <cellStyle name="Normal 7 10 2 2 2 8" xfId="11737" xr:uid="{00000000-0005-0000-0000-00008C2A0000}"/>
    <cellStyle name="Normal 7 10 2 2 3" xfId="11738" xr:uid="{00000000-0005-0000-0000-00008D2A0000}"/>
    <cellStyle name="Normal 7 10 2 2 3 2" xfId="11739" xr:uid="{00000000-0005-0000-0000-00008E2A0000}"/>
    <cellStyle name="Normal 7 10 2 2 3 2 2" xfId="11740" xr:uid="{00000000-0005-0000-0000-00008F2A0000}"/>
    <cellStyle name="Normal 7 10 2 2 3 3" xfId="11741" xr:uid="{00000000-0005-0000-0000-0000902A0000}"/>
    <cellStyle name="Normal 7 10 2 2 3 4" xfId="11742" xr:uid="{00000000-0005-0000-0000-0000912A0000}"/>
    <cellStyle name="Normal 7 10 2 2 4" xfId="11743" xr:uid="{00000000-0005-0000-0000-0000922A0000}"/>
    <cellStyle name="Normal 7 10 2 2 4 2" xfId="11744" xr:uid="{00000000-0005-0000-0000-0000932A0000}"/>
    <cellStyle name="Normal 7 10 2 2 5" xfId="11745" xr:uid="{00000000-0005-0000-0000-0000942A0000}"/>
    <cellStyle name="Normal 7 10 2 2 5 2" xfId="11746" xr:uid="{00000000-0005-0000-0000-0000952A0000}"/>
    <cellStyle name="Normal 7 10 2 2 6" xfId="11747" xr:uid="{00000000-0005-0000-0000-0000962A0000}"/>
    <cellStyle name="Normal 7 10 2 2 6 2" xfId="11748" xr:uid="{00000000-0005-0000-0000-0000972A0000}"/>
    <cellStyle name="Normal 7 10 2 2 7" xfId="11749" xr:uid="{00000000-0005-0000-0000-0000982A0000}"/>
    <cellStyle name="Normal 7 10 2 2 8" xfId="11750" xr:uid="{00000000-0005-0000-0000-0000992A0000}"/>
    <cellStyle name="Normal 7 10 2 2 9" xfId="11751" xr:uid="{00000000-0005-0000-0000-00009A2A0000}"/>
    <cellStyle name="Normal 7 10 2 3" xfId="11752" xr:uid="{00000000-0005-0000-0000-00009B2A0000}"/>
    <cellStyle name="Normal 7 10 2 3 2" xfId="11753" xr:uid="{00000000-0005-0000-0000-00009C2A0000}"/>
    <cellStyle name="Normal 7 10 2 3 2 2" xfId="11754" xr:uid="{00000000-0005-0000-0000-00009D2A0000}"/>
    <cellStyle name="Normal 7 10 2 3 2 3" xfId="11755" xr:uid="{00000000-0005-0000-0000-00009E2A0000}"/>
    <cellStyle name="Normal 7 10 2 3 3" xfId="11756" xr:uid="{00000000-0005-0000-0000-00009F2A0000}"/>
    <cellStyle name="Normal 7 10 2 3 3 2" xfId="11757" xr:uid="{00000000-0005-0000-0000-0000A02A0000}"/>
    <cellStyle name="Normal 7 10 2 3 4" xfId="11758" xr:uid="{00000000-0005-0000-0000-0000A12A0000}"/>
    <cellStyle name="Normal 7 10 2 3 5" xfId="11759" xr:uid="{00000000-0005-0000-0000-0000A22A0000}"/>
    <cellStyle name="Normal 7 10 2 3 6" xfId="11760" xr:uid="{00000000-0005-0000-0000-0000A32A0000}"/>
    <cellStyle name="Normal 7 10 2 3 7" xfId="11761" xr:uid="{00000000-0005-0000-0000-0000A42A0000}"/>
    <cellStyle name="Normal 7 10 2 3 8" xfId="11762" xr:uid="{00000000-0005-0000-0000-0000A52A0000}"/>
    <cellStyle name="Normal 7 10 2 4" xfId="11763" xr:uid="{00000000-0005-0000-0000-0000A62A0000}"/>
    <cellStyle name="Normal 7 10 2 4 2" xfId="11764" xr:uid="{00000000-0005-0000-0000-0000A72A0000}"/>
    <cellStyle name="Normal 7 10 2 4 2 2" xfId="11765" xr:uid="{00000000-0005-0000-0000-0000A82A0000}"/>
    <cellStyle name="Normal 7 10 2 4 3" xfId="11766" xr:uid="{00000000-0005-0000-0000-0000A92A0000}"/>
    <cellStyle name="Normal 7 10 2 4 4" xfId="11767" xr:uid="{00000000-0005-0000-0000-0000AA2A0000}"/>
    <cellStyle name="Normal 7 10 2 5" xfId="11768" xr:uid="{00000000-0005-0000-0000-0000AB2A0000}"/>
    <cellStyle name="Normal 7 10 2 5 2" xfId="11769" xr:uid="{00000000-0005-0000-0000-0000AC2A0000}"/>
    <cellStyle name="Normal 7 10 2 6" xfId="11770" xr:uid="{00000000-0005-0000-0000-0000AD2A0000}"/>
    <cellStyle name="Normal 7 10 2 6 2" xfId="11771" xr:uid="{00000000-0005-0000-0000-0000AE2A0000}"/>
    <cellStyle name="Normal 7 10 2 7" xfId="11772" xr:uid="{00000000-0005-0000-0000-0000AF2A0000}"/>
    <cellStyle name="Normal 7 10 2 7 2" xfId="11773" xr:uid="{00000000-0005-0000-0000-0000B02A0000}"/>
    <cellStyle name="Normal 7 10 2 8" xfId="11774" xr:uid="{00000000-0005-0000-0000-0000B12A0000}"/>
    <cellStyle name="Normal 7 10 2 9" xfId="11775" xr:uid="{00000000-0005-0000-0000-0000B22A0000}"/>
    <cellStyle name="Normal 7 10 3" xfId="11776" xr:uid="{00000000-0005-0000-0000-0000B32A0000}"/>
    <cellStyle name="Normal 7 10 3 10" xfId="11777" xr:uid="{00000000-0005-0000-0000-0000B42A0000}"/>
    <cellStyle name="Normal 7 10 3 11" xfId="11778" xr:uid="{00000000-0005-0000-0000-0000B52A0000}"/>
    <cellStyle name="Normal 7 10 3 2" xfId="11779" xr:uid="{00000000-0005-0000-0000-0000B62A0000}"/>
    <cellStyle name="Normal 7 10 3 2 2" xfId="11780" xr:uid="{00000000-0005-0000-0000-0000B72A0000}"/>
    <cellStyle name="Normal 7 10 3 2 2 2" xfId="11781" xr:uid="{00000000-0005-0000-0000-0000B82A0000}"/>
    <cellStyle name="Normal 7 10 3 2 2 3" xfId="11782" xr:uid="{00000000-0005-0000-0000-0000B92A0000}"/>
    <cellStyle name="Normal 7 10 3 2 3" xfId="11783" xr:uid="{00000000-0005-0000-0000-0000BA2A0000}"/>
    <cellStyle name="Normal 7 10 3 2 3 2" xfId="11784" xr:uid="{00000000-0005-0000-0000-0000BB2A0000}"/>
    <cellStyle name="Normal 7 10 3 2 4" xfId="11785" xr:uid="{00000000-0005-0000-0000-0000BC2A0000}"/>
    <cellStyle name="Normal 7 10 3 2 5" xfId="11786" xr:uid="{00000000-0005-0000-0000-0000BD2A0000}"/>
    <cellStyle name="Normal 7 10 3 2 6" xfId="11787" xr:uid="{00000000-0005-0000-0000-0000BE2A0000}"/>
    <cellStyle name="Normal 7 10 3 2 7" xfId="11788" xr:uid="{00000000-0005-0000-0000-0000BF2A0000}"/>
    <cellStyle name="Normal 7 10 3 2 8" xfId="11789" xr:uid="{00000000-0005-0000-0000-0000C02A0000}"/>
    <cellStyle name="Normal 7 10 3 3" xfId="11790" xr:uid="{00000000-0005-0000-0000-0000C12A0000}"/>
    <cellStyle name="Normal 7 10 3 3 2" xfId="11791" xr:uid="{00000000-0005-0000-0000-0000C22A0000}"/>
    <cellStyle name="Normal 7 10 3 3 2 2" xfId="11792" xr:uid="{00000000-0005-0000-0000-0000C32A0000}"/>
    <cellStyle name="Normal 7 10 3 3 3" xfId="11793" xr:uid="{00000000-0005-0000-0000-0000C42A0000}"/>
    <cellStyle name="Normal 7 10 3 3 4" xfId="11794" xr:uid="{00000000-0005-0000-0000-0000C52A0000}"/>
    <cellStyle name="Normal 7 10 3 4" xfId="11795" xr:uid="{00000000-0005-0000-0000-0000C62A0000}"/>
    <cellStyle name="Normal 7 10 3 4 2" xfId="11796" xr:uid="{00000000-0005-0000-0000-0000C72A0000}"/>
    <cellStyle name="Normal 7 10 3 5" xfId="11797" xr:uid="{00000000-0005-0000-0000-0000C82A0000}"/>
    <cellStyle name="Normal 7 10 3 5 2" xfId="11798" xr:uid="{00000000-0005-0000-0000-0000C92A0000}"/>
    <cellStyle name="Normal 7 10 3 6" xfId="11799" xr:uid="{00000000-0005-0000-0000-0000CA2A0000}"/>
    <cellStyle name="Normal 7 10 3 6 2" xfId="11800" xr:uid="{00000000-0005-0000-0000-0000CB2A0000}"/>
    <cellStyle name="Normal 7 10 3 7" xfId="11801" xr:uid="{00000000-0005-0000-0000-0000CC2A0000}"/>
    <cellStyle name="Normal 7 10 3 8" xfId="11802" xr:uid="{00000000-0005-0000-0000-0000CD2A0000}"/>
    <cellStyle name="Normal 7 10 3 9" xfId="11803" xr:uid="{00000000-0005-0000-0000-0000CE2A0000}"/>
    <cellStyle name="Normal 7 10 4" xfId="11804" xr:uid="{00000000-0005-0000-0000-0000CF2A0000}"/>
    <cellStyle name="Normal 7 10 4 2" xfId="11805" xr:uid="{00000000-0005-0000-0000-0000D02A0000}"/>
    <cellStyle name="Normal 7 10 4 2 2" xfId="11806" xr:uid="{00000000-0005-0000-0000-0000D12A0000}"/>
    <cellStyle name="Normal 7 10 4 2 3" xfId="11807" xr:uid="{00000000-0005-0000-0000-0000D22A0000}"/>
    <cellStyle name="Normal 7 10 4 3" xfId="11808" xr:uid="{00000000-0005-0000-0000-0000D32A0000}"/>
    <cellStyle name="Normal 7 10 4 3 2" xfId="11809" xr:uid="{00000000-0005-0000-0000-0000D42A0000}"/>
    <cellStyle name="Normal 7 10 4 4" xfId="11810" xr:uid="{00000000-0005-0000-0000-0000D52A0000}"/>
    <cellStyle name="Normal 7 10 4 5" xfId="11811" xr:uid="{00000000-0005-0000-0000-0000D62A0000}"/>
    <cellStyle name="Normal 7 10 4 6" xfId="11812" xr:uid="{00000000-0005-0000-0000-0000D72A0000}"/>
    <cellStyle name="Normal 7 10 4 7" xfId="11813" xr:uid="{00000000-0005-0000-0000-0000D82A0000}"/>
    <cellStyle name="Normal 7 10 4 8" xfId="11814" xr:uid="{00000000-0005-0000-0000-0000D92A0000}"/>
    <cellStyle name="Normal 7 10 5" xfId="11815" xr:uid="{00000000-0005-0000-0000-0000DA2A0000}"/>
    <cellStyle name="Normal 7 10 5 2" xfId="11816" xr:uid="{00000000-0005-0000-0000-0000DB2A0000}"/>
    <cellStyle name="Normal 7 10 5 2 2" xfId="11817" xr:uid="{00000000-0005-0000-0000-0000DC2A0000}"/>
    <cellStyle name="Normal 7 10 5 3" xfId="11818" xr:uid="{00000000-0005-0000-0000-0000DD2A0000}"/>
    <cellStyle name="Normal 7 10 5 4" xfId="11819" xr:uid="{00000000-0005-0000-0000-0000DE2A0000}"/>
    <cellStyle name="Normal 7 10 6" xfId="11820" xr:uid="{00000000-0005-0000-0000-0000DF2A0000}"/>
    <cellStyle name="Normal 7 10 6 2" xfId="11821" xr:uid="{00000000-0005-0000-0000-0000E02A0000}"/>
    <cellStyle name="Normal 7 10 7" xfId="11822" xr:uid="{00000000-0005-0000-0000-0000E12A0000}"/>
    <cellStyle name="Normal 7 10 7 2" xfId="11823" xr:uid="{00000000-0005-0000-0000-0000E22A0000}"/>
    <cellStyle name="Normal 7 10 8" xfId="11824" xr:uid="{00000000-0005-0000-0000-0000E32A0000}"/>
    <cellStyle name="Normal 7 10 8 2" xfId="11825" xr:uid="{00000000-0005-0000-0000-0000E42A0000}"/>
    <cellStyle name="Normal 7 10 9" xfId="11826" xr:uid="{00000000-0005-0000-0000-0000E52A0000}"/>
    <cellStyle name="Normal 7 11" xfId="11827" xr:uid="{00000000-0005-0000-0000-0000E62A0000}"/>
    <cellStyle name="Normal 7 11 10" xfId="11828" xr:uid="{00000000-0005-0000-0000-0000E72A0000}"/>
    <cellStyle name="Normal 7 11 11" xfId="11829" xr:uid="{00000000-0005-0000-0000-0000E82A0000}"/>
    <cellStyle name="Normal 7 11 12" xfId="11830" xr:uid="{00000000-0005-0000-0000-0000E92A0000}"/>
    <cellStyle name="Normal 7 11 2" xfId="11831" xr:uid="{00000000-0005-0000-0000-0000EA2A0000}"/>
    <cellStyle name="Normal 7 11 2 10" xfId="11832" xr:uid="{00000000-0005-0000-0000-0000EB2A0000}"/>
    <cellStyle name="Normal 7 11 2 11" xfId="11833" xr:uid="{00000000-0005-0000-0000-0000EC2A0000}"/>
    <cellStyle name="Normal 7 11 2 2" xfId="11834" xr:uid="{00000000-0005-0000-0000-0000ED2A0000}"/>
    <cellStyle name="Normal 7 11 2 2 2" xfId="11835" xr:uid="{00000000-0005-0000-0000-0000EE2A0000}"/>
    <cellStyle name="Normal 7 11 2 2 2 2" xfId="11836" xr:uid="{00000000-0005-0000-0000-0000EF2A0000}"/>
    <cellStyle name="Normal 7 11 2 2 2 3" xfId="11837" xr:uid="{00000000-0005-0000-0000-0000F02A0000}"/>
    <cellStyle name="Normal 7 11 2 2 3" xfId="11838" xr:uid="{00000000-0005-0000-0000-0000F12A0000}"/>
    <cellStyle name="Normal 7 11 2 2 3 2" xfId="11839" xr:uid="{00000000-0005-0000-0000-0000F22A0000}"/>
    <cellStyle name="Normal 7 11 2 2 4" xfId="11840" xr:uid="{00000000-0005-0000-0000-0000F32A0000}"/>
    <cellStyle name="Normal 7 11 2 2 5" xfId="11841" xr:uid="{00000000-0005-0000-0000-0000F42A0000}"/>
    <cellStyle name="Normal 7 11 2 2 6" xfId="11842" xr:uid="{00000000-0005-0000-0000-0000F52A0000}"/>
    <cellStyle name="Normal 7 11 2 2 7" xfId="11843" xr:uid="{00000000-0005-0000-0000-0000F62A0000}"/>
    <cellStyle name="Normal 7 11 2 2 8" xfId="11844" xr:uid="{00000000-0005-0000-0000-0000F72A0000}"/>
    <cellStyle name="Normal 7 11 2 3" xfId="11845" xr:uid="{00000000-0005-0000-0000-0000F82A0000}"/>
    <cellStyle name="Normal 7 11 2 3 2" xfId="11846" xr:uid="{00000000-0005-0000-0000-0000F92A0000}"/>
    <cellStyle name="Normal 7 11 2 3 2 2" xfId="11847" xr:uid="{00000000-0005-0000-0000-0000FA2A0000}"/>
    <cellStyle name="Normal 7 11 2 3 3" xfId="11848" xr:uid="{00000000-0005-0000-0000-0000FB2A0000}"/>
    <cellStyle name="Normal 7 11 2 3 4" xfId="11849" xr:uid="{00000000-0005-0000-0000-0000FC2A0000}"/>
    <cellStyle name="Normal 7 11 2 4" xfId="11850" xr:uid="{00000000-0005-0000-0000-0000FD2A0000}"/>
    <cellStyle name="Normal 7 11 2 4 2" xfId="11851" xr:uid="{00000000-0005-0000-0000-0000FE2A0000}"/>
    <cellStyle name="Normal 7 11 2 5" xfId="11852" xr:uid="{00000000-0005-0000-0000-0000FF2A0000}"/>
    <cellStyle name="Normal 7 11 2 5 2" xfId="11853" xr:uid="{00000000-0005-0000-0000-0000002B0000}"/>
    <cellStyle name="Normal 7 11 2 6" xfId="11854" xr:uid="{00000000-0005-0000-0000-0000012B0000}"/>
    <cellStyle name="Normal 7 11 2 6 2" xfId="11855" xr:uid="{00000000-0005-0000-0000-0000022B0000}"/>
    <cellStyle name="Normal 7 11 2 7" xfId="11856" xr:uid="{00000000-0005-0000-0000-0000032B0000}"/>
    <cellStyle name="Normal 7 11 2 8" xfId="11857" xr:uid="{00000000-0005-0000-0000-0000042B0000}"/>
    <cellStyle name="Normal 7 11 2 9" xfId="11858" xr:uid="{00000000-0005-0000-0000-0000052B0000}"/>
    <cellStyle name="Normal 7 11 3" xfId="11859" xr:uid="{00000000-0005-0000-0000-0000062B0000}"/>
    <cellStyle name="Normal 7 11 3 2" xfId="11860" xr:uid="{00000000-0005-0000-0000-0000072B0000}"/>
    <cellStyle name="Normal 7 11 3 2 2" xfId="11861" xr:uid="{00000000-0005-0000-0000-0000082B0000}"/>
    <cellStyle name="Normal 7 11 3 2 3" xfId="11862" xr:uid="{00000000-0005-0000-0000-0000092B0000}"/>
    <cellStyle name="Normal 7 11 3 3" xfId="11863" xr:uid="{00000000-0005-0000-0000-00000A2B0000}"/>
    <cellStyle name="Normal 7 11 3 3 2" xfId="11864" xr:uid="{00000000-0005-0000-0000-00000B2B0000}"/>
    <cellStyle name="Normal 7 11 3 4" xfId="11865" xr:uid="{00000000-0005-0000-0000-00000C2B0000}"/>
    <cellStyle name="Normal 7 11 3 5" xfId="11866" xr:uid="{00000000-0005-0000-0000-00000D2B0000}"/>
    <cellStyle name="Normal 7 11 3 6" xfId="11867" xr:uid="{00000000-0005-0000-0000-00000E2B0000}"/>
    <cellStyle name="Normal 7 11 3 7" xfId="11868" xr:uid="{00000000-0005-0000-0000-00000F2B0000}"/>
    <cellStyle name="Normal 7 11 3 8" xfId="11869" xr:uid="{00000000-0005-0000-0000-0000102B0000}"/>
    <cellStyle name="Normal 7 11 4" xfId="11870" xr:uid="{00000000-0005-0000-0000-0000112B0000}"/>
    <cellStyle name="Normal 7 11 4 2" xfId="11871" xr:uid="{00000000-0005-0000-0000-0000122B0000}"/>
    <cellStyle name="Normal 7 11 4 2 2" xfId="11872" xr:uid="{00000000-0005-0000-0000-0000132B0000}"/>
    <cellStyle name="Normal 7 11 4 3" xfId="11873" xr:uid="{00000000-0005-0000-0000-0000142B0000}"/>
    <cellStyle name="Normal 7 11 4 4" xfId="11874" xr:uid="{00000000-0005-0000-0000-0000152B0000}"/>
    <cellStyle name="Normal 7 11 5" xfId="11875" xr:uid="{00000000-0005-0000-0000-0000162B0000}"/>
    <cellStyle name="Normal 7 11 5 2" xfId="11876" xr:uid="{00000000-0005-0000-0000-0000172B0000}"/>
    <cellStyle name="Normal 7 11 6" xfId="11877" xr:uid="{00000000-0005-0000-0000-0000182B0000}"/>
    <cellStyle name="Normal 7 11 6 2" xfId="11878" xr:uid="{00000000-0005-0000-0000-0000192B0000}"/>
    <cellStyle name="Normal 7 11 7" xfId="11879" xr:uid="{00000000-0005-0000-0000-00001A2B0000}"/>
    <cellStyle name="Normal 7 11 7 2" xfId="11880" xr:uid="{00000000-0005-0000-0000-00001B2B0000}"/>
    <cellStyle name="Normal 7 11 8" xfId="11881" xr:uid="{00000000-0005-0000-0000-00001C2B0000}"/>
    <cellStyle name="Normal 7 11 9" xfId="11882" xr:uid="{00000000-0005-0000-0000-00001D2B0000}"/>
    <cellStyle name="Normal 7 12" xfId="11883" xr:uid="{00000000-0005-0000-0000-00001E2B0000}"/>
    <cellStyle name="Normal 7 12 10" xfId="11884" xr:uid="{00000000-0005-0000-0000-00001F2B0000}"/>
    <cellStyle name="Normal 7 12 11" xfId="11885" xr:uid="{00000000-0005-0000-0000-0000202B0000}"/>
    <cellStyle name="Normal 7 12 2" xfId="11886" xr:uid="{00000000-0005-0000-0000-0000212B0000}"/>
    <cellStyle name="Normal 7 12 2 2" xfId="11887" xr:uid="{00000000-0005-0000-0000-0000222B0000}"/>
    <cellStyle name="Normal 7 12 2 2 2" xfId="11888" xr:uid="{00000000-0005-0000-0000-0000232B0000}"/>
    <cellStyle name="Normal 7 12 2 2 3" xfId="11889" xr:uid="{00000000-0005-0000-0000-0000242B0000}"/>
    <cellStyle name="Normal 7 12 2 3" xfId="11890" xr:uid="{00000000-0005-0000-0000-0000252B0000}"/>
    <cellStyle name="Normal 7 12 2 3 2" xfId="11891" xr:uid="{00000000-0005-0000-0000-0000262B0000}"/>
    <cellStyle name="Normal 7 12 2 4" xfId="11892" xr:uid="{00000000-0005-0000-0000-0000272B0000}"/>
    <cellStyle name="Normal 7 12 2 5" xfId="11893" xr:uid="{00000000-0005-0000-0000-0000282B0000}"/>
    <cellStyle name="Normal 7 12 2 6" xfId="11894" xr:uid="{00000000-0005-0000-0000-0000292B0000}"/>
    <cellStyle name="Normal 7 12 2 7" xfId="11895" xr:uid="{00000000-0005-0000-0000-00002A2B0000}"/>
    <cellStyle name="Normal 7 12 2 8" xfId="11896" xr:uid="{00000000-0005-0000-0000-00002B2B0000}"/>
    <cellStyle name="Normal 7 12 3" xfId="11897" xr:uid="{00000000-0005-0000-0000-00002C2B0000}"/>
    <cellStyle name="Normal 7 12 3 2" xfId="11898" xr:uid="{00000000-0005-0000-0000-00002D2B0000}"/>
    <cellStyle name="Normal 7 12 3 2 2" xfId="11899" xr:uid="{00000000-0005-0000-0000-00002E2B0000}"/>
    <cellStyle name="Normal 7 12 3 3" xfId="11900" xr:uid="{00000000-0005-0000-0000-00002F2B0000}"/>
    <cellStyle name="Normal 7 12 3 4" xfId="11901" xr:uid="{00000000-0005-0000-0000-0000302B0000}"/>
    <cellStyle name="Normal 7 12 4" xfId="11902" xr:uid="{00000000-0005-0000-0000-0000312B0000}"/>
    <cellStyle name="Normal 7 12 4 2" xfId="11903" xr:uid="{00000000-0005-0000-0000-0000322B0000}"/>
    <cellStyle name="Normal 7 12 5" xfId="11904" xr:uid="{00000000-0005-0000-0000-0000332B0000}"/>
    <cellStyle name="Normal 7 12 5 2" xfId="11905" xr:uid="{00000000-0005-0000-0000-0000342B0000}"/>
    <cellStyle name="Normal 7 12 6" xfId="11906" xr:uid="{00000000-0005-0000-0000-0000352B0000}"/>
    <cellStyle name="Normal 7 12 6 2" xfId="11907" xr:uid="{00000000-0005-0000-0000-0000362B0000}"/>
    <cellStyle name="Normal 7 12 7" xfId="11908" xr:uid="{00000000-0005-0000-0000-0000372B0000}"/>
    <cellStyle name="Normal 7 12 8" xfId="11909" xr:uid="{00000000-0005-0000-0000-0000382B0000}"/>
    <cellStyle name="Normal 7 12 9" xfId="11910" xr:uid="{00000000-0005-0000-0000-0000392B0000}"/>
    <cellStyle name="Normal 7 13" xfId="11911" xr:uid="{00000000-0005-0000-0000-00003A2B0000}"/>
    <cellStyle name="Normal 7 13 2" xfId="11912" xr:uid="{00000000-0005-0000-0000-00003B2B0000}"/>
    <cellStyle name="Normal 7 13 2 2" xfId="11913" xr:uid="{00000000-0005-0000-0000-00003C2B0000}"/>
    <cellStyle name="Normal 7 13 3" xfId="11914" xr:uid="{00000000-0005-0000-0000-00003D2B0000}"/>
    <cellStyle name="Normal 7 13 4" xfId="11915" xr:uid="{00000000-0005-0000-0000-00003E2B0000}"/>
    <cellStyle name="Normal 7 13 5" xfId="11916" xr:uid="{00000000-0005-0000-0000-00003F2B0000}"/>
    <cellStyle name="Normal 7 14" xfId="11917" xr:uid="{00000000-0005-0000-0000-0000402B0000}"/>
    <cellStyle name="Normal 7 14 2" xfId="11918" xr:uid="{00000000-0005-0000-0000-0000412B0000}"/>
    <cellStyle name="Normal 7 14 2 2" xfId="11919" xr:uid="{00000000-0005-0000-0000-0000422B0000}"/>
    <cellStyle name="Normal 7 14 2 3" xfId="11920" xr:uid="{00000000-0005-0000-0000-0000432B0000}"/>
    <cellStyle name="Normal 7 14 3" xfId="11921" xr:uid="{00000000-0005-0000-0000-0000442B0000}"/>
    <cellStyle name="Normal 7 14 3 2" xfId="11922" xr:uid="{00000000-0005-0000-0000-0000452B0000}"/>
    <cellStyle name="Normal 7 14 4" xfId="11923" xr:uid="{00000000-0005-0000-0000-0000462B0000}"/>
    <cellStyle name="Normal 7 14 5" xfId="11924" xr:uid="{00000000-0005-0000-0000-0000472B0000}"/>
    <cellStyle name="Normal 7 14 6" xfId="11925" xr:uid="{00000000-0005-0000-0000-0000482B0000}"/>
    <cellStyle name="Normal 7 14 7" xfId="11926" xr:uid="{00000000-0005-0000-0000-0000492B0000}"/>
    <cellStyle name="Normal 7 14 8" xfId="11927" xr:uid="{00000000-0005-0000-0000-00004A2B0000}"/>
    <cellStyle name="Normal 7 15" xfId="11928" xr:uid="{00000000-0005-0000-0000-00004B2B0000}"/>
    <cellStyle name="Normal 7 15 2" xfId="11929" xr:uid="{00000000-0005-0000-0000-00004C2B0000}"/>
    <cellStyle name="Normal 7 15 3" xfId="11930" xr:uid="{00000000-0005-0000-0000-00004D2B0000}"/>
    <cellStyle name="Normal 7 16" xfId="11931" xr:uid="{00000000-0005-0000-0000-00004E2B0000}"/>
    <cellStyle name="Normal 7 16 2" xfId="11932" xr:uid="{00000000-0005-0000-0000-00004F2B0000}"/>
    <cellStyle name="Normal 7 17" xfId="11933" xr:uid="{00000000-0005-0000-0000-0000502B0000}"/>
    <cellStyle name="Normal 7 17 2" xfId="11934" xr:uid="{00000000-0005-0000-0000-0000512B0000}"/>
    <cellStyle name="Normal 7 18" xfId="11935" xr:uid="{00000000-0005-0000-0000-0000522B0000}"/>
    <cellStyle name="Normal 7 19" xfId="11936" xr:uid="{00000000-0005-0000-0000-0000532B0000}"/>
    <cellStyle name="Normal 7 2" xfId="2221" xr:uid="{00000000-0005-0000-0000-0000542B0000}"/>
    <cellStyle name="Normal 7 2 2" xfId="2222" xr:uid="{00000000-0005-0000-0000-0000552B0000}"/>
    <cellStyle name="Normal 7 2 2 2" xfId="2223" xr:uid="{00000000-0005-0000-0000-0000562B0000}"/>
    <cellStyle name="Normal 7 2 2 2 2" xfId="2224" xr:uid="{00000000-0005-0000-0000-0000572B0000}"/>
    <cellStyle name="Normal 7 2 2 2 2 2" xfId="2225" xr:uid="{00000000-0005-0000-0000-0000582B0000}"/>
    <cellStyle name="Normal 7 2 2 2 2 2 2" xfId="2226" xr:uid="{00000000-0005-0000-0000-0000592B0000}"/>
    <cellStyle name="Normal 7 2 2 2 2 2 2 2" xfId="2227" xr:uid="{00000000-0005-0000-0000-00005A2B0000}"/>
    <cellStyle name="Normal 7 2 2 2 2 2 2 2 2" xfId="2228" xr:uid="{00000000-0005-0000-0000-00005B2B0000}"/>
    <cellStyle name="Normal 7 2 2 2 2 2 2 3" xfId="2229" xr:uid="{00000000-0005-0000-0000-00005C2B0000}"/>
    <cellStyle name="Normal 7 2 2 2 2 2 3" xfId="2230" xr:uid="{00000000-0005-0000-0000-00005D2B0000}"/>
    <cellStyle name="Normal 7 2 2 2 2 2 3 2" xfId="2231" xr:uid="{00000000-0005-0000-0000-00005E2B0000}"/>
    <cellStyle name="Normal 7 2 2 2 2 2 4" xfId="2232" xr:uid="{00000000-0005-0000-0000-00005F2B0000}"/>
    <cellStyle name="Normal 7 2 2 2 2 3" xfId="2233" xr:uid="{00000000-0005-0000-0000-0000602B0000}"/>
    <cellStyle name="Normal 7 2 2 2 2 3 2" xfId="2234" xr:uid="{00000000-0005-0000-0000-0000612B0000}"/>
    <cellStyle name="Normal 7 2 2 2 2 3 2 2" xfId="2235" xr:uid="{00000000-0005-0000-0000-0000622B0000}"/>
    <cellStyle name="Normal 7 2 2 2 2 3 3" xfId="2236" xr:uid="{00000000-0005-0000-0000-0000632B0000}"/>
    <cellStyle name="Normal 7 2 2 2 2 4" xfId="2237" xr:uid="{00000000-0005-0000-0000-0000642B0000}"/>
    <cellStyle name="Normal 7 2 2 2 2 4 2" xfId="2238" xr:uid="{00000000-0005-0000-0000-0000652B0000}"/>
    <cellStyle name="Normal 7 2 2 2 2 5" xfId="2239" xr:uid="{00000000-0005-0000-0000-0000662B0000}"/>
    <cellStyle name="Normal 7 2 2 2 3" xfId="2240" xr:uid="{00000000-0005-0000-0000-0000672B0000}"/>
    <cellStyle name="Normal 7 2 2 2 3 2" xfId="2241" xr:uid="{00000000-0005-0000-0000-0000682B0000}"/>
    <cellStyle name="Normal 7 2 2 2 3 2 2" xfId="2242" xr:uid="{00000000-0005-0000-0000-0000692B0000}"/>
    <cellStyle name="Normal 7 2 2 2 3 2 2 2" xfId="2243" xr:uid="{00000000-0005-0000-0000-00006A2B0000}"/>
    <cellStyle name="Normal 7 2 2 2 3 2 3" xfId="2244" xr:uid="{00000000-0005-0000-0000-00006B2B0000}"/>
    <cellStyle name="Normal 7 2 2 2 3 3" xfId="2245" xr:uid="{00000000-0005-0000-0000-00006C2B0000}"/>
    <cellStyle name="Normal 7 2 2 2 3 3 2" xfId="2246" xr:uid="{00000000-0005-0000-0000-00006D2B0000}"/>
    <cellStyle name="Normal 7 2 2 2 3 4" xfId="2247" xr:uid="{00000000-0005-0000-0000-00006E2B0000}"/>
    <cellStyle name="Normal 7 2 2 2 4" xfId="2248" xr:uid="{00000000-0005-0000-0000-00006F2B0000}"/>
    <cellStyle name="Normal 7 2 2 2 4 2" xfId="2249" xr:uid="{00000000-0005-0000-0000-0000702B0000}"/>
    <cellStyle name="Normal 7 2 2 2 4 2 2" xfId="2250" xr:uid="{00000000-0005-0000-0000-0000712B0000}"/>
    <cellStyle name="Normal 7 2 2 2 4 3" xfId="2251" xr:uid="{00000000-0005-0000-0000-0000722B0000}"/>
    <cellStyle name="Normal 7 2 2 2 5" xfId="2252" xr:uid="{00000000-0005-0000-0000-0000732B0000}"/>
    <cellStyle name="Normal 7 2 2 2 5 2" xfId="2253" xr:uid="{00000000-0005-0000-0000-0000742B0000}"/>
    <cellStyle name="Normal 7 2 2 2 6" xfId="2254" xr:uid="{00000000-0005-0000-0000-0000752B0000}"/>
    <cellStyle name="Normal 7 2 2 3" xfId="2255" xr:uid="{00000000-0005-0000-0000-0000762B0000}"/>
    <cellStyle name="Normal 7 2 2 3 2" xfId="2256" xr:uid="{00000000-0005-0000-0000-0000772B0000}"/>
    <cellStyle name="Normal 7 2 2 3 2 2" xfId="2257" xr:uid="{00000000-0005-0000-0000-0000782B0000}"/>
    <cellStyle name="Normal 7 2 2 3 2 2 2" xfId="2258" xr:uid="{00000000-0005-0000-0000-0000792B0000}"/>
    <cellStyle name="Normal 7 2 2 3 2 2 2 2" xfId="2259" xr:uid="{00000000-0005-0000-0000-00007A2B0000}"/>
    <cellStyle name="Normal 7 2 2 3 2 2 3" xfId="2260" xr:uid="{00000000-0005-0000-0000-00007B2B0000}"/>
    <cellStyle name="Normal 7 2 2 3 2 3" xfId="2261" xr:uid="{00000000-0005-0000-0000-00007C2B0000}"/>
    <cellStyle name="Normal 7 2 2 3 2 3 2" xfId="2262" xr:uid="{00000000-0005-0000-0000-00007D2B0000}"/>
    <cellStyle name="Normal 7 2 2 3 2 4" xfId="2263" xr:uid="{00000000-0005-0000-0000-00007E2B0000}"/>
    <cellStyle name="Normal 7 2 2 3 3" xfId="2264" xr:uid="{00000000-0005-0000-0000-00007F2B0000}"/>
    <cellStyle name="Normal 7 2 2 3 3 2" xfId="2265" xr:uid="{00000000-0005-0000-0000-0000802B0000}"/>
    <cellStyle name="Normal 7 2 2 3 3 2 2" xfId="2266" xr:uid="{00000000-0005-0000-0000-0000812B0000}"/>
    <cellStyle name="Normal 7 2 2 3 3 3" xfId="2267" xr:uid="{00000000-0005-0000-0000-0000822B0000}"/>
    <cellStyle name="Normal 7 2 2 3 4" xfId="2268" xr:uid="{00000000-0005-0000-0000-0000832B0000}"/>
    <cellStyle name="Normal 7 2 2 3 4 2" xfId="2269" xr:uid="{00000000-0005-0000-0000-0000842B0000}"/>
    <cellStyle name="Normal 7 2 2 3 5" xfId="2270" xr:uid="{00000000-0005-0000-0000-0000852B0000}"/>
    <cellStyle name="Normal 7 2 2 4" xfId="2271" xr:uid="{00000000-0005-0000-0000-0000862B0000}"/>
    <cellStyle name="Normal 7 2 2 4 2" xfId="2272" xr:uid="{00000000-0005-0000-0000-0000872B0000}"/>
    <cellStyle name="Normal 7 2 2 4 2 2" xfId="2273" xr:uid="{00000000-0005-0000-0000-0000882B0000}"/>
    <cellStyle name="Normal 7 2 2 4 2 2 2" xfId="2274" xr:uid="{00000000-0005-0000-0000-0000892B0000}"/>
    <cellStyle name="Normal 7 2 2 4 2 3" xfId="2275" xr:uid="{00000000-0005-0000-0000-00008A2B0000}"/>
    <cellStyle name="Normal 7 2 2 4 3" xfId="2276" xr:uid="{00000000-0005-0000-0000-00008B2B0000}"/>
    <cellStyle name="Normal 7 2 2 4 3 2" xfId="2277" xr:uid="{00000000-0005-0000-0000-00008C2B0000}"/>
    <cellStyle name="Normal 7 2 2 4 4" xfId="2278" xr:uid="{00000000-0005-0000-0000-00008D2B0000}"/>
    <cellStyle name="Normal 7 2 2 5" xfId="2279" xr:uid="{00000000-0005-0000-0000-00008E2B0000}"/>
    <cellStyle name="Normal 7 2 2 5 2" xfId="2280" xr:uid="{00000000-0005-0000-0000-00008F2B0000}"/>
    <cellStyle name="Normal 7 2 2 5 2 2" xfId="2281" xr:uid="{00000000-0005-0000-0000-0000902B0000}"/>
    <cellStyle name="Normal 7 2 2 5 3" xfId="2282" xr:uid="{00000000-0005-0000-0000-0000912B0000}"/>
    <cellStyle name="Normal 7 2 2 6" xfId="2283" xr:uid="{00000000-0005-0000-0000-0000922B0000}"/>
    <cellStyle name="Normal 7 2 2 6 2" xfId="2284" xr:uid="{00000000-0005-0000-0000-0000932B0000}"/>
    <cellStyle name="Normal 7 2 2 7" xfId="2285" xr:uid="{00000000-0005-0000-0000-0000942B0000}"/>
    <cellStyle name="Normal 7 2 3" xfId="2286" xr:uid="{00000000-0005-0000-0000-0000952B0000}"/>
    <cellStyle name="Normal 7 2 3 2" xfId="2287" xr:uid="{00000000-0005-0000-0000-0000962B0000}"/>
    <cellStyle name="Normal 7 2 3 2 2" xfId="2288" xr:uid="{00000000-0005-0000-0000-0000972B0000}"/>
    <cellStyle name="Normal 7 2 3 2 2 2" xfId="2289" xr:uid="{00000000-0005-0000-0000-0000982B0000}"/>
    <cellStyle name="Normal 7 2 3 2 2 2 2" xfId="2290" xr:uid="{00000000-0005-0000-0000-0000992B0000}"/>
    <cellStyle name="Normal 7 2 3 2 2 2 2 2" xfId="2291" xr:uid="{00000000-0005-0000-0000-00009A2B0000}"/>
    <cellStyle name="Normal 7 2 3 2 2 2 3" xfId="2292" xr:uid="{00000000-0005-0000-0000-00009B2B0000}"/>
    <cellStyle name="Normal 7 2 3 2 2 3" xfId="2293" xr:uid="{00000000-0005-0000-0000-00009C2B0000}"/>
    <cellStyle name="Normal 7 2 3 2 2 3 2" xfId="2294" xr:uid="{00000000-0005-0000-0000-00009D2B0000}"/>
    <cellStyle name="Normal 7 2 3 2 2 4" xfId="2295" xr:uid="{00000000-0005-0000-0000-00009E2B0000}"/>
    <cellStyle name="Normal 7 2 3 2 3" xfId="2296" xr:uid="{00000000-0005-0000-0000-00009F2B0000}"/>
    <cellStyle name="Normal 7 2 3 2 3 2" xfId="2297" xr:uid="{00000000-0005-0000-0000-0000A02B0000}"/>
    <cellStyle name="Normal 7 2 3 2 3 2 2" xfId="2298" xr:uid="{00000000-0005-0000-0000-0000A12B0000}"/>
    <cellStyle name="Normal 7 2 3 2 3 3" xfId="2299" xr:uid="{00000000-0005-0000-0000-0000A22B0000}"/>
    <cellStyle name="Normal 7 2 3 2 4" xfId="2300" xr:uid="{00000000-0005-0000-0000-0000A32B0000}"/>
    <cellStyle name="Normal 7 2 3 2 4 2" xfId="2301" xr:uid="{00000000-0005-0000-0000-0000A42B0000}"/>
    <cellStyle name="Normal 7 2 3 2 5" xfId="2302" xr:uid="{00000000-0005-0000-0000-0000A52B0000}"/>
    <cellStyle name="Normal 7 2 3 3" xfId="2303" xr:uid="{00000000-0005-0000-0000-0000A62B0000}"/>
    <cellStyle name="Normal 7 2 3 3 2" xfId="2304" xr:uid="{00000000-0005-0000-0000-0000A72B0000}"/>
    <cellStyle name="Normal 7 2 3 3 2 2" xfId="2305" xr:uid="{00000000-0005-0000-0000-0000A82B0000}"/>
    <cellStyle name="Normal 7 2 3 3 2 2 2" xfId="2306" xr:uid="{00000000-0005-0000-0000-0000A92B0000}"/>
    <cellStyle name="Normal 7 2 3 3 2 3" xfId="2307" xr:uid="{00000000-0005-0000-0000-0000AA2B0000}"/>
    <cellStyle name="Normal 7 2 3 3 3" xfId="2308" xr:uid="{00000000-0005-0000-0000-0000AB2B0000}"/>
    <cellStyle name="Normal 7 2 3 3 3 2" xfId="2309" xr:uid="{00000000-0005-0000-0000-0000AC2B0000}"/>
    <cellStyle name="Normal 7 2 3 3 4" xfId="2310" xr:uid="{00000000-0005-0000-0000-0000AD2B0000}"/>
    <cellStyle name="Normal 7 2 3 4" xfId="2311" xr:uid="{00000000-0005-0000-0000-0000AE2B0000}"/>
    <cellStyle name="Normal 7 2 3 4 2" xfId="2312" xr:uid="{00000000-0005-0000-0000-0000AF2B0000}"/>
    <cellStyle name="Normal 7 2 3 4 2 2" xfId="2313" xr:uid="{00000000-0005-0000-0000-0000B02B0000}"/>
    <cellStyle name="Normal 7 2 3 4 3" xfId="2314" xr:uid="{00000000-0005-0000-0000-0000B12B0000}"/>
    <cellStyle name="Normal 7 2 3 5" xfId="2315" xr:uid="{00000000-0005-0000-0000-0000B22B0000}"/>
    <cellStyle name="Normal 7 2 3 5 2" xfId="2316" xr:uid="{00000000-0005-0000-0000-0000B32B0000}"/>
    <cellStyle name="Normal 7 2 3 6" xfId="2317" xr:uid="{00000000-0005-0000-0000-0000B42B0000}"/>
    <cellStyle name="Normal 7 2 4" xfId="2318" xr:uid="{00000000-0005-0000-0000-0000B52B0000}"/>
    <cellStyle name="Normal 7 2 4 2" xfId="2319" xr:uid="{00000000-0005-0000-0000-0000B62B0000}"/>
    <cellStyle name="Normal 7 2 4 2 2" xfId="2320" xr:uid="{00000000-0005-0000-0000-0000B72B0000}"/>
    <cellStyle name="Normal 7 2 4 2 2 2" xfId="2321" xr:uid="{00000000-0005-0000-0000-0000B82B0000}"/>
    <cellStyle name="Normal 7 2 4 2 2 2 2" xfId="2322" xr:uid="{00000000-0005-0000-0000-0000B92B0000}"/>
    <cellStyle name="Normal 7 2 4 2 2 3" xfId="2323" xr:uid="{00000000-0005-0000-0000-0000BA2B0000}"/>
    <cellStyle name="Normal 7 2 4 2 3" xfId="2324" xr:uid="{00000000-0005-0000-0000-0000BB2B0000}"/>
    <cellStyle name="Normal 7 2 4 2 3 2" xfId="2325" xr:uid="{00000000-0005-0000-0000-0000BC2B0000}"/>
    <cellStyle name="Normal 7 2 4 2 4" xfId="2326" xr:uid="{00000000-0005-0000-0000-0000BD2B0000}"/>
    <cellStyle name="Normal 7 2 4 3" xfId="2327" xr:uid="{00000000-0005-0000-0000-0000BE2B0000}"/>
    <cellStyle name="Normal 7 2 4 3 2" xfId="2328" xr:uid="{00000000-0005-0000-0000-0000BF2B0000}"/>
    <cellStyle name="Normal 7 2 4 3 2 2" xfId="2329" xr:uid="{00000000-0005-0000-0000-0000C02B0000}"/>
    <cellStyle name="Normal 7 2 4 3 3" xfId="2330" xr:uid="{00000000-0005-0000-0000-0000C12B0000}"/>
    <cellStyle name="Normal 7 2 4 4" xfId="2331" xr:uid="{00000000-0005-0000-0000-0000C22B0000}"/>
    <cellStyle name="Normal 7 2 4 4 2" xfId="2332" xr:uid="{00000000-0005-0000-0000-0000C32B0000}"/>
    <cellStyle name="Normal 7 2 4 5" xfId="2333" xr:uid="{00000000-0005-0000-0000-0000C42B0000}"/>
    <cellStyle name="Normal 7 2 5" xfId="2334" xr:uid="{00000000-0005-0000-0000-0000C52B0000}"/>
    <cellStyle name="Normal 7 2 5 2" xfId="2335" xr:uid="{00000000-0005-0000-0000-0000C62B0000}"/>
    <cellStyle name="Normal 7 2 5 2 2" xfId="2336" xr:uid="{00000000-0005-0000-0000-0000C72B0000}"/>
    <cellStyle name="Normal 7 2 5 2 2 2" xfId="2337" xr:uid="{00000000-0005-0000-0000-0000C82B0000}"/>
    <cellStyle name="Normal 7 2 5 2 3" xfId="2338" xr:uid="{00000000-0005-0000-0000-0000C92B0000}"/>
    <cellStyle name="Normal 7 2 5 3" xfId="2339" xr:uid="{00000000-0005-0000-0000-0000CA2B0000}"/>
    <cellStyle name="Normal 7 2 5 3 2" xfId="2340" xr:uid="{00000000-0005-0000-0000-0000CB2B0000}"/>
    <cellStyle name="Normal 7 2 5 4" xfId="2341" xr:uid="{00000000-0005-0000-0000-0000CC2B0000}"/>
    <cellStyle name="Normal 7 2 6" xfId="2342" xr:uid="{00000000-0005-0000-0000-0000CD2B0000}"/>
    <cellStyle name="Normal 7 2 6 2" xfId="2343" xr:uid="{00000000-0005-0000-0000-0000CE2B0000}"/>
    <cellStyle name="Normal 7 2 6 2 2" xfId="2344" xr:uid="{00000000-0005-0000-0000-0000CF2B0000}"/>
    <cellStyle name="Normal 7 2 6 3" xfId="2345" xr:uid="{00000000-0005-0000-0000-0000D02B0000}"/>
    <cellStyle name="Normal 7 2 7" xfId="2346" xr:uid="{00000000-0005-0000-0000-0000D12B0000}"/>
    <cellStyle name="Normal 7 2 7 2" xfId="2347" xr:uid="{00000000-0005-0000-0000-0000D22B0000}"/>
    <cellStyle name="Normal 7 2 8" xfId="2348" xr:uid="{00000000-0005-0000-0000-0000D32B0000}"/>
    <cellStyle name="Normal 7 20" xfId="11937" xr:uid="{00000000-0005-0000-0000-0000D42B0000}"/>
    <cellStyle name="Normal 7 21" xfId="11938" xr:uid="{00000000-0005-0000-0000-0000D52B0000}"/>
    <cellStyle name="Normal 7 22" xfId="11939" xr:uid="{00000000-0005-0000-0000-0000D62B0000}"/>
    <cellStyle name="Normal 7 23" xfId="11940" xr:uid="{00000000-0005-0000-0000-0000D72B0000}"/>
    <cellStyle name="Normal 7 3" xfId="2349" xr:uid="{00000000-0005-0000-0000-0000D82B0000}"/>
    <cellStyle name="Normal 7 3 2" xfId="2350" xr:uid="{00000000-0005-0000-0000-0000D92B0000}"/>
    <cellStyle name="Normal 7 3 2 2" xfId="2351" xr:uid="{00000000-0005-0000-0000-0000DA2B0000}"/>
    <cellStyle name="Normal 7 3 2 2 2" xfId="2352" xr:uid="{00000000-0005-0000-0000-0000DB2B0000}"/>
    <cellStyle name="Normal 7 3 2 2 2 2" xfId="2353" xr:uid="{00000000-0005-0000-0000-0000DC2B0000}"/>
    <cellStyle name="Normal 7 3 2 2 2 2 2" xfId="2354" xr:uid="{00000000-0005-0000-0000-0000DD2B0000}"/>
    <cellStyle name="Normal 7 3 2 2 2 2 2 2" xfId="2355" xr:uid="{00000000-0005-0000-0000-0000DE2B0000}"/>
    <cellStyle name="Normal 7 3 2 2 2 2 3" xfId="2356" xr:uid="{00000000-0005-0000-0000-0000DF2B0000}"/>
    <cellStyle name="Normal 7 3 2 2 2 3" xfId="2357" xr:uid="{00000000-0005-0000-0000-0000E02B0000}"/>
    <cellStyle name="Normal 7 3 2 2 2 3 2" xfId="2358" xr:uid="{00000000-0005-0000-0000-0000E12B0000}"/>
    <cellStyle name="Normal 7 3 2 2 2 4" xfId="2359" xr:uid="{00000000-0005-0000-0000-0000E22B0000}"/>
    <cellStyle name="Normal 7 3 2 2 3" xfId="2360" xr:uid="{00000000-0005-0000-0000-0000E32B0000}"/>
    <cellStyle name="Normal 7 3 2 2 3 2" xfId="2361" xr:uid="{00000000-0005-0000-0000-0000E42B0000}"/>
    <cellStyle name="Normal 7 3 2 2 3 2 2" xfId="2362" xr:uid="{00000000-0005-0000-0000-0000E52B0000}"/>
    <cellStyle name="Normal 7 3 2 2 3 3" xfId="2363" xr:uid="{00000000-0005-0000-0000-0000E62B0000}"/>
    <cellStyle name="Normal 7 3 2 2 4" xfId="2364" xr:uid="{00000000-0005-0000-0000-0000E72B0000}"/>
    <cellStyle name="Normal 7 3 2 2 4 2" xfId="2365" xr:uid="{00000000-0005-0000-0000-0000E82B0000}"/>
    <cellStyle name="Normal 7 3 2 2 5" xfId="2366" xr:uid="{00000000-0005-0000-0000-0000E92B0000}"/>
    <cellStyle name="Normal 7 3 2 3" xfId="2367" xr:uid="{00000000-0005-0000-0000-0000EA2B0000}"/>
    <cellStyle name="Normal 7 3 2 3 2" xfId="2368" xr:uid="{00000000-0005-0000-0000-0000EB2B0000}"/>
    <cellStyle name="Normal 7 3 2 3 2 2" xfId="2369" xr:uid="{00000000-0005-0000-0000-0000EC2B0000}"/>
    <cellStyle name="Normal 7 3 2 3 2 2 2" xfId="2370" xr:uid="{00000000-0005-0000-0000-0000ED2B0000}"/>
    <cellStyle name="Normal 7 3 2 3 2 3" xfId="2371" xr:uid="{00000000-0005-0000-0000-0000EE2B0000}"/>
    <cellStyle name="Normal 7 3 2 3 3" xfId="2372" xr:uid="{00000000-0005-0000-0000-0000EF2B0000}"/>
    <cellStyle name="Normal 7 3 2 3 3 2" xfId="2373" xr:uid="{00000000-0005-0000-0000-0000F02B0000}"/>
    <cellStyle name="Normal 7 3 2 3 4" xfId="2374" xr:uid="{00000000-0005-0000-0000-0000F12B0000}"/>
    <cellStyle name="Normal 7 3 2 4" xfId="2375" xr:uid="{00000000-0005-0000-0000-0000F22B0000}"/>
    <cellStyle name="Normal 7 3 2 4 2" xfId="2376" xr:uid="{00000000-0005-0000-0000-0000F32B0000}"/>
    <cellStyle name="Normal 7 3 2 4 2 2" xfId="2377" xr:uid="{00000000-0005-0000-0000-0000F42B0000}"/>
    <cellStyle name="Normal 7 3 2 4 3" xfId="2378" xr:uid="{00000000-0005-0000-0000-0000F52B0000}"/>
    <cellStyle name="Normal 7 3 2 5" xfId="2379" xr:uid="{00000000-0005-0000-0000-0000F62B0000}"/>
    <cellStyle name="Normal 7 3 2 5 2" xfId="2380" xr:uid="{00000000-0005-0000-0000-0000F72B0000}"/>
    <cellStyle name="Normal 7 3 2 6" xfId="2381" xr:uid="{00000000-0005-0000-0000-0000F82B0000}"/>
    <cellStyle name="Normal 7 3 3" xfId="2382" xr:uid="{00000000-0005-0000-0000-0000F92B0000}"/>
    <cellStyle name="Normal 7 3 3 2" xfId="2383" xr:uid="{00000000-0005-0000-0000-0000FA2B0000}"/>
    <cellStyle name="Normal 7 3 3 2 2" xfId="2384" xr:uid="{00000000-0005-0000-0000-0000FB2B0000}"/>
    <cellStyle name="Normal 7 3 3 2 2 2" xfId="2385" xr:uid="{00000000-0005-0000-0000-0000FC2B0000}"/>
    <cellStyle name="Normal 7 3 3 2 2 2 2" xfId="2386" xr:uid="{00000000-0005-0000-0000-0000FD2B0000}"/>
    <cellStyle name="Normal 7 3 3 2 2 3" xfId="2387" xr:uid="{00000000-0005-0000-0000-0000FE2B0000}"/>
    <cellStyle name="Normal 7 3 3 2 3" xfId="2388" xr:uid="{00000000-0005-0000-0000-0000FF2B0000}"/>
    <cellStyle name="Normal 7 3 3 2 3 2" xfId="2389" xr:uid="{00000000-0005-0000-0000-0000002C0000}"/>
    <cellStyle name="Normal 7 3 3 2 4" xfId="2390" xr:uid="{00000000-0005-0000-0000-0000012C0000}"/>
    <cellStyle name="Normal 7 3 3 3" xfId="2391" xr:uid="{00000000-0005-0000-0000-0000022C0000}"/>
    <cellStyle name="Normal 7 3 3 3 2" xfId="2392" xr:uid="{00000000-0005-0000-0000-0000032C0000}"/>
    <cellStyle name="Normal 7 3 3 3 2 2" xfId="2393" xr:uid="{00000000-0005-0000-0000-0000042C0000}"/>
    <cellStyle name="Normal 7 3 3 3 3" xfId="2394" xr:uid="{00000000-0005-0000-0000-0000052C0000}"/>
    <cellStyle name="Normal 7 3 3 4" xfId="2395" xr:uid="{00000000-0005-0000-0000-0000062C0000}"/>
    <cellStyle name="Normal 7 3 3 4 2" xfId="2396" xr:uid="{00000000-0005-0000-0000-0000072C0000}"/>
    <cellStyle name="Normal 7 3 3 5" xfId="2397" xr:uid="{00000000-0005-0000-0000-0000082C0000}"/>
    <cellStyle name="Normal 7 3 4" xfId="2398" xr:uid="{00000000-0005-0000-0000-0000092C0000}"/>
    <cellStyle name="Normal 7 3 4 2" xfId="2399" xr:uid="{00000000-0005-0000-0000-00000A2C0000}"/>
    <cellStyle name="Normal 7 3 4 2 2" xfId="2400" xr:uid="{00000000-0005-0000-0000-00000B2C0000}"/>
    <cellStyle name="Normal 7 3 4 2 2 2" xfId="2401" xr:uid="{00000000-0005-0000-0000-00000C2C0000}"/>
    <cellStyle name="Normal 7 3 4 2 3" xfId="2402" xr:uid="{00000000-0005-0000-0000-00000D2C0000}"/>
    <cellStyle name="Normal 7 3 4 3" xfId="2403" xr:uid="{00000000-0005-0000-0000-00000E2C0000}"/>
    <cellStyle name="Normal 7 3 4 3 2" xfId="2404" xr:uid="{00000000-0005-0000-0000-00000F2C0000}"/>
    <cellStyle name="Normal 7 3 4 4" xfId="2405" xr:uid="{00000000-0005-0000-0000-0000102C0000}"/>
    <cellStyle name="Normal 7 3 5" xfId="2406" xr:uid="{00000000-0005-0000-0000-0000112C0000}"/>
    <cellStyle name="Normal 7 3 5 2" xfId="2407" xr:uid="{00000000-0005-0000-0000-0000122C0000}"/>
    <cellStyle name="Normal 7 3 5 2 2" xfId="2408" xr:uid="{00000000-0005-0000-0000-0000132C0000}"/>
    <cellStyle name="Normal 7 3 5 3" xfId="2409" xr:uid="{00000000-0005-0000-0000-0000142C0000}"/>
    <cellStyle name="Normal 7 3 6" xfId="2410" xr:uid="{00000000-0005-0000-0000-0000152C0000}"/>
    <cellStyle name="Normal 7 3 6 2" xfId="2411" xr:uid="{00000000-0005-0000-0000-0000162C0000}"/>
    <cellStyle name="Normal 7 3 7" xfId="2412" xr:uid="{00000000-0005-0000-0000-0000172C0000}"/>
    <cellStyle name="Normal 7 4" xfId="2413" xr:uid="{00000000-0005-0000-0000-0000182C0000}"/>
    <cellStyle name="Normal 7 4 2" xfId="2414" xr:uid="{00000000-0005-0000-0000-0000192C0000}"/>
    <cellStyle name="Normal 7 4 2 2" xfId="2415" xr:uid="{00000000-0005-0000-0000-00001A2C0000}"/>
    <cellStyle name="Normal 7 4 2 2 2" xfId="2416" xr:uid="{00000000-0005-0000-0000-00001B2C0000}"/>
    <cellStyle name="Normal 7 4 2 2 2 2" xfId="2417" xr:uid="{00000000-0005-0000-0000-00001C2C0000}"/>
    <cellStyle name="Normal 7 4 2 2 2 2 2" xfId="2418" xr:uid="{00000000-0005-0000-0000-00001D2C0000}"/>
    <cellStyle name="Normal 7 4 2 2 2 3" xfId="2419" xr:uid="{00000000-0005-0000-0000-00001E2C0000}"/>
    <cellStyle name="Normal 7 4 2 2 3" xfId="2420" xr:uid="{00000000-0005-0000-0000-00001F2C0000}"/>
    <cellStyle name="Normal 7 4 2 2 3 2" xfId="2421" xr:uid="{00000000-0005-0000-0000-0000202C0000}"/>
    <cellStyle name="Normal 7 4 2 2 4" xfId="2422" xr:uid="{00000000-0005-0000-0000-0000212C0000}"/>
    <cellStyle name="Normal 7 4 2 3" xfId="2423" xr:uid="{00000000-0005-0000-0000-0000222C0000}"/>
    <cellStyle name="Normal 7 4 2 3 2" xfId="2424" xr:uid="{00000000-0005-0000-0000-0000232C0000}"/>
    <cellStyle name="Normal 7 4 2 3 2 2" xfId="2425" xr:uid="{00000000-0005-0000-0000-0000242C0000}"/>
    <cellStyle name="Normal 7 4 2 3 3" xfId="2426" xr:uid="{00000000-0005-0000-0000-0000252C0000}"/>
    <cellStyle name="Normal 7 4 2 4" xfId="2427" xr:uid="{00000000-0005-0000-0000-0000262C0000}"/>
    <cellStyle name="Normal 7 4 2 4 2" xfId="2428" xr:uid="{00000000-0005-0000-0000-0000272C0000}"/>
    <cellStyle name="Normal 7 4 2 5" xfId="2429" xr:uid="{00000000-0005-0000-0000-0000282C0000}"/>
    <cellStyle name="Normal 7 4 3" xfId="2430" xr:uid="{00000000-0005-0000-0000-0000292C0000}"/>
    <cellStyle name="Normal 7 4 3 2" xfId="2431" xr:uid="{00000000-0005-0000-0000-00002A2C0000}"/>
    <cellStyle name="Normal 7 4 3 2 2" xfId="2432" xr:uid="{00000000-0005-0000-0000-00002B2C0000}"/>
    <cellStyle name="Normal 7 4 3 2 2 2" xfId="2433" xr:uid="{00000000-0005-0000-0000-00002C2C0000}"/>
    <cellStyle name="Normal 7 4 3 2 3" xfId="2434" xr:uid="{00000000-0005-0000-0000-00002D2C0000}"/>
    <cellStyle name="Normal 7 4 3 3" xfId="2435" xr:uid="{00000000-0005-0000-0000-00002E2C0000}"/>
    <cellStyle name="Normal 7 4 3 3 2" xfId="2436" xr:uid="{00000000-0005-0000-0000-00002F2C0000}"/>
    <cellStyle name="Normal 7 4 3 4" xfId="2437" xr:uid="{00000000-0005-0000-0000-0000302C0000}"/>
    <cellStyle name="Normal 7 4 4" xfId="2438" xr:uid="{00000000-0005-0000-0000-0000312C0000}"/>
    <cellStyle name="Normal 7 4 4 2" xfId="2439" xr:uid="{00000000-0005-0000-0000-0000322C0000}"/>
    <cellStyle name="Normal 7 4 4 2 2" xfId="2440" xr:uid="{00000000-0005-0000-0000-0000332C0000}"/>
    <cellStyle name="Normal 7 4 4 3" xfId="2441" xr:uid="{00000000-0005-0000-0000-0000342C0000}"/>
    <cellStyle name="Normal 7 4 5" xfId="2442" xr:uid="{00000000-0005-0000-0000-0000352C0000}"/>
    <cellStyle name="Normal 7 4 5 2" xfId="2443" xr:uid="{00000000-0005-0000-0000-0000362C0000}"/>
    <cellStyle name="Normal 7 4 6" xfId="2444" xr:uid="{00000000-0005-0000-0000-0000372C0000}"/>
    <cellStyle name="Normal 7 5" xfId="2445" xr:uid="{00000000-0005-0000-0000-0000382C0000}"/>
    <cellStyle name="Normal 7 5 2" xfId="2446" xr:uid="{00000000-0005-0000-0000-0000392C0000}"/>
    <cellStyle name="Normal 7 5 2 2" xfId="2447" xr:uid="{00000000-0005-0000-0000-00003A2C0000}"/>
    <cellStyle name="Normal 7 5 2 2 2" xfId="2448" xr:uid="{00000000-0005-0000-0000-00003B2C0000}"/>
    <cellStyle name="Normal 7 5 2 2 2 2" xfId="2449" xr:uid="{00000000-0005-0000-0000-00003C2C0000}"/>
    <cellStyle name="Normal 7 5 2 2 3" xfId="2450" xr:uid="{00000000-0005-0000-0000-00003D2C0000}"/>
    <cellStyle name="Normal 7 5 2 3" xfId="2451" xr:uid="{00000000-0005-0000-0000-00003E2C0000}"/>
    <cellStyle name="Normal 7 5 2 3 2" xfId="2452" xr:uid="{00000000-0005-0000-0000-00003F2C0000}"/>
    <cellStyle name="Normal 7 5 2 4" xfId="2453" xr:uid="{00000000-0005-0000-0000-0000402C0000}"/>
    <cellStyle name="Normal 7 5 3" xfId="2454" xr:uid="{00000000-0005-0000-0000-0000412C0000}"/>
    <cellStyle name="Normal 7 5 3 2" xfId="2455" xr:uid="{00000000-0005-0000-0000-0000422C0000}"/>
    <cellStyle name="Normal 7 5 3 2 2" xfId="2456" xr:uid="{00000000-0005-0000-0000-0000432C0000}"/>
    <cellStyle name="Normal 7 5 3 3" xfId="2457" xr:uid="{00000000-0005-0000-0000-0000442C0000}"/>
    <cellStyle name="Normal 7 5 4" xfId="2458" xr:uid="{00000000-0005-0000-0000-0000452C0000}"/>
    <cellStyle name="Normal 7 5 4 2" xfId="2459" xr:uid="{00000000-0005-0000-0000-0000462C0000}"/>
    <cellStyle name="Normal 7 5 5" xfId="2460" xr:uid="{00000000-0005-0000-0000-0000472C0000}"/>
    <cellStyle name="Normal 7 6" xfId="2461" xr:uid="{00000000-0005-0000-0000-0000482C0000}"/>
    <cellStyle name="Normal 7 6 2" xfId="2462" xr:uid="{00000000-0005-0000-0000-0000492C0000}"/>
    <cellStyle name="Normal 7 6 2 2" xfId="2463" xr:uid="{00000000-0005-0000-0000-00004A2C0000}"/>
    <cellStyle name="Normal 7 6 2 2 2" xfId="2464" xr:uid="{00000000-0005-0000-0000-00004B2C0000}"/>
    <cellStyle name="Normal 7 6 2 3" xfId="2465" xr:uid="{00000000-0005-0000-0000-00004C2C0000}"/>
    <cellStyle name="Normal 7 6 3" xfId="2466" xr:uid="{00000000-0005-0000-0000-00004D2C0000}"/>
    <cellStyle name="Normal 7 6 3 2" xfId="2467" xr:uid="{00000000-0005-0000-0000-00004E2C0000}"/>
    <cellStyle name="Normal 7 6 4" xfId="2468" xr:uid="{00000000-0005-0000-0000-00004F2C0000}"/>
    <cellStyle name="Normal 7 7" xfId="2469" xr:uid="{00000000-0005-0000-0000-0000502C0000}"/>
    <cellStyle name="Normal 7 7 10" xfId="11941" xr:uid="{00000000-0005-0000-0000-0000512C0000}"/>
    <cellStyle name="Normal 7 7 11" xfId="11942" xr:uid="{00000000-0005-0000-0000-0000522C0000}"/>
    <cellStyle name="Normal 7 7 12" xfId="11943" xr:uid="{00000000-0005-0000-0000-0000532C0000}"/>
    <cellStyle name="Normal 7 7 13" xfId="11944" xr:uid="{00000000-0005-0000-0000-0000542C0000}"/>
    <cellStyle name="Normal 7 7 14" xfId="11945" xr:uid="{00000000-0005-0000-0000-0000552C0000}"/>
    <cellStyle name="Normal 7 7 15" xfId="11946" xr:uid="{00000000-0005-0000-0000-0000562C0000}"/>
    <cellStyle name="Normal 7 7 2" xfId="2470" xr:uid="{00000000-0005-0000-0000-0000572C0000}"/>
    <cellStyle name="Normal 7 7 2 10" xfId="11947" xr:uid="{00000000-0005-0000-0000-0000582C0000}"/>
    <cellStyle name="Normal 7 7 2 11" xfId="11948" xr:uid="{00000000-0005-0000-0000-0000592C0000}"/>
    <cellStyle name="Normal 7 7 2 12" xfId="11949" xr:uid="{00000000-0005-0000-0000-00005A2C0000}"/>
    <cellStyle name="Normal 7 7 2 13" xfId="11950" xr:uid="{00000000-0005-0000-0000-00005B2C0000}"/>
    <cellStyle name="Normal 7 7 2 2" xfId="2471" xr:uid="{00000000-0005-0000-0000-00005C2C0000}"/>
    <cellStyle name="Normal 7 7 2 2 10" xfId="11951" xr:uid="{00000000-0005-0000-0000-00005D2C0000}"/>
    <cellStyle name="Normal 7 7 2 2 11" xfId="11952" xr:uid="{00000000-0005-0000-0000-00005E2C0000}"/>
    <cellStyle name="Normal 7 7 2 2 12" xfId="11953" xr:uid="{00000000-0005-0000-0000-00005F2C0000}"/>
    <cellStyle name="Normal 7 7 2 2 2" xfId="11954" xr:uid="{00000000-0005-0000-0000-0000602C0000}"/>
    <cellStyle name="Normal 7 7 2 2 2 10" xfId="11955" xr:uid="{00000000-0005-0000-0000-0000612C0000}"/>
    <cellStyle name="Normal 7 7 2 2 2 11" xfId="11956" xr:uid="{00000000-0005-0000-0000-0000622C0000}"/>
    <cellStyle name="Normal 7 7 2 2 2 2" xfId="11957" xr:uid="{00000000-0005-0000-0000-0000632C0000}"/>
    <cellStyle name="Normal 7 7 2 2 2 2 2" xfId="11958" xr:uid="{00000000-0005-0000-0000-0000642C0000}"/>
    <cellStyle name="Normal 7 7 2 2 2 2 2 2" xfId="11959" xr:uid="{00000000-0005-0000-0000-0000652C0000}"/>
    <cellStyle name="Normal 7 7 2 2 2 2 2 3" xfId="11960" xr:uid="{00000000-0005-0000-0000-0000662C0000}"/>
    <cellStyle name="Normal 7 7 2 2 2 2 3" xfId="11961" xr:uid="{00000000-0005-0000-0000-0000672C0000}"/>
    <cellStyle name="Normal 7 7 2 2 2 2 3 2" xfId="11962" xr:uid="{00000000-0005-0000-0000-0000682C0000}"/>
    <cellStyle name="Normal 7 7 2 2 2 2 4" xfId="11963" xr:uid="{00000000-0005-0000-0000-0000692C0000}"/>
    <cellStyle name="Normal 7 7 2 2 2 2 5" xfId="11964" xr:uid="{00000000-0005-0000-0000-00006A2C0000}"/>
    <cellStyle name="Normal 7 7 2 2 2 2 6" xfId="11965" xr:uid="{00000000-0005-0000-0000-00006B2C0000}"/>
    <cellStyle name="Normal 7 7 2 2 2 2 7" xfId="11966" xr:uid="{00000000-0005-0000-0000-00006C2C0000}"/>
    <cellStyle name="Normal 7 7 2 2 2 2 8" xfId="11967" xr:uid="{00000000-0005-0000-0000-00006D2C0000}"/>
    <cellStyle name="Normal 7 7 2 2 2 3" xfId="11968" xr:uid="{00000000-0005-0000-0000-00006E2C0000}"/>
    <cellStyle name="Normal 7 7 2 2 2 3 2" xfId="11969" xr:uid="{00000000-0005-0000-0000-00006F2C0000}"/>
    <cellStyle name="Normal 7 7 2 2 2 3 2 2" xfId="11970" xr:uid="{00000000-0005-0000-0000-0000702C0000}"/>
    <cellStyle name="Normal 7 7 2 2 2 3 3" xfId="11971" xr:uid="{00000000-0005-0000-0000-0000712C0000}"/>
    <cellStyle name="Normal 7 7 2 2 2 3 4" xfId="11972" xr:uid="{00000000-0005-0000-0000-0000722C0000}"/>
    <cellStyle name="Normal 7 7 2 2 2 4" xfId="11973" xr:uid="{00000000-0005-0000-0000-0000732C0000}"/>
    <cellStyle name="Normal 7 7 2 2 2 4 2" xfId="11974" xr:uid="{00000000-0005-0000-0000-0000742C0000}"/>
    <cellStyle name="Normal 7 7 2 2 2 5" xfId="11975" xr:uid="{00000000-0005-0000-0000-0000752C0000}"/>
    <cellStyle name="Normal 7 7 2 2 2 5 2" xfId="11976" xr:uid="{00000000-0005-0000-0000-0000762C0000}"/>
    <cellStyle name="Normal 7 7 2 2 2 6" xfId="11977" xr:uid="{00000000-0005-0000-0000-0000772C0000}"/>
    <cellStyle name="Normal 7 7 2 2 2 6 2" xfId="11978" xr:uid="{00000000-0005-0000-0000-0000782C0000}"/>
    <cellStyle name="Normal 7 7 2 2 2 7" xfId="11979" xr:uid="{00000000-0005-0000-0000-0000792C0000}"/>
    <cellStyle name="Normal 7 7 2 2 2 8" xfId="11980" xr:uid="{00000000-0005-0000-0000-00007A2C0000}"/>
    <cellStyle name="Normal 7 7 2 2 2 9" xfId="11981" xr:uid="{00000000-0005-0000-0000-00007B2C0000}"/>
    <cellStyle name="Normal 7 7 2 2 3" xfId="11982" xr:uid="{00000000-0005-0000-0000-00007C2C0000}"/>
    <cellStyle name="Normal 7 7 2 2 3 2" xfId="11983" xr:uid="{00000000-0005-0000-0000-00007D2C0000}"/>
    <cellStyle name="Normal 7 7 2 2 3 2 2" xfId="11984" xr:uid="{00000000-0005-0000-0000-00007E2C0000}"/>
    <cellStyle name="Normal 7 7 2 2 3 2 3" xfId="11985" xr:uid="{00000000-0005-0000-0000-00007F2C0000}"/>
    <cellStyle name="Normal 7 7 2 2 3 3" xfId="11986" xr:uid="{00000000-0005-0000-0000-0000802C0000}"/>
    <cellStyle name="Normal 7 7 2 2 3 3 2" xfId="11987" xr:uid="{00000000-0005-0000-0000-0000812C0000}"/>
    <cellStyle name="Normal 7 7 2 2 3 4" xfId="11988" xr:uid="{00000000-0005-0000-0000-0000822C0000}"/>
    <cellStyle name="Normal 7 7 2 2 3 5" xfId="11989" xr:uid="{00000000-0005-0000-0000-0000832C0000}"/>
    <cellStyle name="Normal 7 7 2 2 3 6" xfId="11990" xr:uid="{00000000-0005-0000-0000-0000842C0000}"/>
    <cellStyle name="Normal 7 7 2 2 3 7" xfId="11991" xr:uid="{00000000-0005-0000-0000-0000852C0000}"/>
    <cellStyle name="Normal 7 7 2 2 3 8" xfId="11992" xr:uid="{00000000-0005-0000-0000-0000862C0000}"/>
    <cellStyle name="Normal 7 7 2 2 4" xfId="11993" xr:uid="{00000000-0005-0000-0000-0000872C0000}"/>
    <cellStyle name="Normal 7 7 2 2 4 2" xfId="11994" xr:uid="{00000000-0005-0000-0000-0000882C0000}"/>
    <cellStyle name="Normal 7 7 2 2 4 2 2" xfId="11995" xr:uid="{00000000-0005-0000-0000-0000892C0000}"/>
    <cellStyle name="Normal 7 7 2 2 4 3" xfId="11996" xr:uid="{00000000-0005-0000-0000-00008A2C0000}"/>
    <cellStyle name="Normal 7 7 2 2 4 4" xfId="11997" xr:uid="{00000000-0005-0000-0000-00008B2C0000}"/>
    <cellStyle name="Normal 7 7 2 2 5" xfId="11998" xr:uid="{00000000-0005-0000-0000-00008C2C0000}"/>
    <cellStyle name="Normal 7 7 2 2 5 2" xfId="11999" xr:uid="{00000000-0005-0000-0000-00008D2C0000}"/>
    <cellStyle name="Normal 7 7 2 2 6" xfId="12000" xr:uid="{00000000-0005-0000-0000-00008E2C0000}"/>
    <cellStyle name="Normal 7 7 2 2 6 2" xfId="12001" xr:uid="{00000000-0005-0000-0000-00008F2C0000}"/>
    <cellStyle name="Normal 7 7 2 2 7" xfId="12002" xr:uid="{00000000-0005-0000-0000-0000902C0000}"/>
    <cellStyle name="Normal 7 7 2 2 7 2" xfId="12003" xr:uid="{00000000-0005-0000-0000-0000912C0000}"/>
    <cellStyle name="Normal 7 7 2 2 8" xfId="12004" xr:uid="{00000000-0005-0000-0000-0000922C0000}"/>
    <cellStyle name="Normal 7 7 2 2 9" xfId="12005" xr:uid="{00000000-0005-0000-0000-0000932C0000}"/>
    <cellStyle name="Normal 7 7 2 3" xfId="12006" xr:uid="{00000000-0005-0000-0000-0000942C0000}"/>
    <cellStyle name="Normal 7 7 2 3 10" xfId="12007" xr:uid="{00000000-0005-0000-0000-0000952C0000}"/>
    <cellStyle name="Normal 7 7 2 3 11" xfId="12008" xr:uid="{00000000-0005-0000-0000-0000962C0000}"/>
    <cellStyle name="Normal 7 7 2 3 2" xfId="12009" xr:uid="{00000000-0005-0000-0000-0000972C0000}"/>
    <cellStyle name="Normal 7 7 2 3 2 2" xfId="12010" xr:uid="{00000000-0005-0000-0000-0000982C0000}"/>
    <cellStyle name="Normal 7 7 2 3 2 2 2" xfId="12011" xr:uid="{00000000-0005-0000-0000-0000992C0000}"/>
    <cellStyle name="Normal 7 7 2 3 2 2 3" xfId="12012" xr:uid="{00000000-0005-0000-0000-00009A2C0000}"/>
    <cellStyle name="Normal 7 7 2 3 2 3" xfId="12013" xr:uid="{00000000-0005-0000-0000-00009B2C0000}"/>
    <cellStyle name="Normal 7 7 2 3 2 3 2" xfId="12014" xr:uid="{00000000-0005-0000-0000-00009C2C0000}"/>
    <cellStyle name="Normal 7 7 2 3 2 4" xfId="12015" xr:uid="{00000000-0005-0000-0000-00009D2C0000}"/>
    <cellStyle name="Normal 7 7 2 3 2 5" xfId="12016" xr:uid="{00000000-0005-0000-0000-00009E2C0000}"/>
    <cellStyle name="Normal 7 7 2 3 2 6" xfId="12017" xr:uid="{00000000-0005-0000-0000-00009F2C0000}"/>
    <cellStyle name="Normal 7 7 2 3 2 7" xfId="12018" xr:uid="{00000000-0005-0000-0000-0000A02C0000}"/>
    <cellStyle name="Normal 7 7 2 3 2 8" xfId="12019" xr:uid="{00000000-0005-0000-0000-0000A12C0000}"/>
    <cellStyle name="Normal 7 7 2 3 3" xfId="12020" xr:uid="{00000000-0005-0000-0000-0000A22C0000}"/>
    <cellStyle name="Normal 7 7 2 3 3 2" xfId="12021" xr:uid="{00000000-0005-0000-0000-0000A32C0000}"/>
    <cellStyle name="Normal 7 7 2 3 3 2 2" xfId="12022" xr:uid="{00000000-0005-0000-0000-0000A42C0000}"/>
    <cellStyle name="Normal 7 7 2 3 3 3" xfId="12023" xr:uid="{00000000-0005-0000-0000-0000A52C0000}"/>
    <cellStyle name="Normal 7 7 2 3 3 4" xfId="12024" xr:uid="{00000000-0005-0000-0000-0000A62C0000}"/>
    <cellStyle name="Normal 7 7 2 3 4" xfId="12025" xr:uid="{00000000-0005-0000-0000-0000A72C0000}"/>
    <cellStyle name="Normal 7 7 2 3 4 2" xfId="12026" xr:uid="{00000000-0005-0000-0000-0000A82C0000}"/>
    <cellStyle name="Normal 7 7 2 3 5" xfId="12027" xr:uid="{00000000-0005-0000-0000-0000A92C0000}"/>
    <cellStyle name="Normal 7 7 2 3 5 2" xfId="12028" xr:uid="{00000000-0005-0000-0000-0000AA2C0000}"/>
    <cellStyle name="Normal 7 7 2 3 6" xfId="12029" xr:uid="{00000000-0005-0000-0000-0000AB2C0000}"/>
    <cellStyle name="Normal 7 7 2 3 6 2" xfId="12030" xr:uid="{00000000-0005-0000-0000-0000AC2C0000}"/>
    <cellStyle name="Normal 7 7 2 3 7" xfId="12031" xr:uid="{00000000-0005-0000-0000-0000AD2C0000}"/>
    <cellStyle name="Normal 7 7 2 3 8" xfId="12032" xr:uid="{00000000-0005-0000-0000-0000AE2C0000}"/>
    <cellStyle name="Normal 7 7 2 3 9" xfId="12033" xr:uid="{00000000-0005-0000-0000-0000AF2C0000}"/>
    <cellStyle name="Normal 7 7 2 4" xfId="12034" xr:uid="{00000000-0005-0000-0000-0000B02C0000}"/>
    <cellStyle name="Normal 7 7 2 4 2" xfId="12035" xr:uid="{00000000-0005-0000-0000-0000B12C0000}"/>
    <cellStyle name="Normal 7 7 2 4 2 2" xfId="12036" xr:uid="{00000000-0005-0000-0000-0000B22C0000}"/>
    <cellStyle name="Normal 7 7 2 4 2 3" xfId="12037" xr:uid="{00000000-0005-0000-0000-0000B32C0000}"/>
    <cellStyle name="Normal 7 7 2 4 3" xfId="12038" xr:uid="{00000000-0005-0000-0000-0000B42C0000}"/>
    <cellStyle name="Normal 7 7 2 4 3 2" xfId="12039" xr:uid="{00000000-0005-0000-0000-0000B52C0000}"/>
    <cellStyle name="Normal 7 7 2 4 4" xfId="12040" xr:uid="{00000000-0005-0000-0000-0000B62C0000}"/>
    <cellStyle name="Normal 7 7 2 4 5" xfId="12041" xr:uid="{00000000-0005-0000-0000-0000B72C0000}"/>
    <cellStyle name="Normal 7 7 2 4 6" xfId="12042" xr:uid="{00000000-0005-0000-0000-0000B82C0000}"/>
    <cellStyle name="Normal 7 7 2 4 7" xfId="12043" xr:uid="{00000000-0005-0000-0000-0000B92C0000}"/>
    <cellStyle name="Normal 7 7 2 4 8" xfId="12044" xr:uid="{00000000-0005-0000-0000-0000BA2C0000}"/>
    <cellStyle name="Normal 7 7 2 5" xfId="12045" xr:uid="{00000000-0005-0000-0000-0000BB2C0000}"/>
    <cellStyle name="Normal 7 7 2 5 2" xfId="12046" xr:uid="{00000000-0005-0000-0000-0000BC2C0000}"/>
    <cellStyle name="Normal 7 7 2 5 2 2" xfId="12047" xr:uid="{00000000-0005-0000-0000-0000BD2C0000}"/>
    <cellStyle name="Normal 7 7 2 5 3" xfId="12048" xr:uid="{00000000-0005-0000-0000-0000BE2C0000}"/>
    <cellStyle name="Normal 7 7 2 5 4" xfId="12049" xr:uid="{00000000-0005-0000-0000-0000BF2C0000}"/>
    <cellStyle name="Normal 7 7 2 6" xfId="12050" xr:uid="{00000000-0005-0000-0000-0000C02C0000}"/>
    <cellStyle name="Normal 7 7 2 6 2" xfId="12051" xr:uid="{00000000-0005-0000-0000-0000C12C0000}"/>
    <cellStyle name="Normal 7 7 2 7" xfId="12052" xr:uid="{00000000-0005-0000-0000-0000C22C0000}"/>
    <cellStyle name="Normal 7 7 2 7 2" xfId="12053" xr:uid="{00000000-0005-0000-0000-0000C32C0000}"/>
    <cellStyle name="Normal 7 7 2 8" xfId="12054" xr:uid="{00000000-0005-0000-0000-0000C42C0000}"/>
    <cellStyle name="Normal 7 7 2 8 2" xfId="12055" xr:uid="{00000000-0005-0000-0000-0000C52C0000}"/>
    <cellStyle name="Normal 7 7 2 9" xfId="12056" xr:uid="{00000000-0005-0000-0000-0000C62C0000}"/>
    <cellStyle name="Normal 7 7 3" xfId="2472" xr:uid="{00000000-0005-0000-0000-0000C72C0000}"/>
    <cellStyle name="Normal 7 7 3 10" xfId="12057" xr:uid="{00000000-0005-0000-0000-0000C82C0000}"/>
    <cellStyle name="Normal 7 7 3 11" xfId="12058" xr:uid="{00000000-0005-0000-0000-0000C92C0000}"/>
    <cellStyle name="Normal 7 7 3 12" xfId="12059" xr:uid="{00000000-0005-0000-0000-0000CA2C0000}"/>
    <cellStyle name="Normal 7 7 3 2" xfId="12060" xr:uid="{00000000-0005-0000-0000-0000CB2C0000}"/>
    <cellStyle name="Normal 7 7 3 2 10" xfId="12061" xr:uid="{00000000-0005-0000-0000-0000CC2C0000}"/>
    <cellStyle name="Normal 7 7 3 2 11" xfId="12062" xr:uid="{00000000-0005-0000-0000-0000CD2C0000}"/>
    <cellStyle name="Normal 7 7 3 2 2" xfId="12063" xr:uid="{00000000-0005-0000-0000-0000CE2C0000}"/>
    <cellStyle name="Normal 7 7 3 2 2 2" xfId="12064" xr:uid="{00000000-0005-0000-0000-0000CF2C0000}"/>
    <cellStyle name="Normal 7 7 3 2 2 2 2" xfId="12065" xr:uid="{00000000-0005-0000-0000-0000D02C0000}"/>
    <cellStyle name="Normal 7 7 3 2 2 2 3" xfId="12066" xr:uid="{00000000-0005-0000-0000-0000D12C0000}"/>
    <cellStyle name="Normal 7 7 3 2 2 3" xfId="12067" xr:uid="{00000000-0005-0000-0000-0000D22C0000}"/>
    <cellStyle name="Normal 7 7 3 2 2 3 2" xfId="12068" xr:uid="{00000000-0005-0000-0000-0000D32C0000}"/>
    <cellStyle name="Normal 7 7 3 2 2 4" xfId="12069" xr:uid="{00000000-0005-0000-0000-0000D42C0000}"/>
    <cellStyle name="Normal 7 7 3 2 2 5" xfId="12070" xr:uid="{00000000-0005-0000-0000-0000D52C0000}"/>
    <cellStyle name="Normal 7 7 3 2 2 6" xfId="12071" xr:uid="{00000000-0005-0000-0000-0000D62C0000}"/>
    <cellStyle name="Normal 7 7 3 2 2 7" xfId="12072" xr:uid="{00000000-0005-0000-0000-0000D72C0000}"/>
    <cellStyle name="Normal 7 7 3 2 2 8" xfId="12073" xr:uid="{00000000-0005-0000-0000-0000D82C0000}"/>
    <cellStyle name="Normal 7 7 3 2 3" xfId="12074" xr:uid="{00000000-0005-0000-0000-0000D92C0000}"/>
    <cellStyle name="Normal 7 7 3 2 3 2" xfId="12075" xr:uid="{00000000-0005-0000-0000-0000DA2C0000}"/>
    <cellStyle name="Normal 7 7 3 2 3 2 2" xfId="12076" xr:uid="{00000000-0005-0000-0000-0000DB2C0000}"/>
    <cellStyle name="Normal 7 7 3 2 3 3" xfId="12077" xr:uid="{00000000-0005-0000-0000-0000DC2C0000}"/>
    <cellStyle name="Normal 7 7 3 2 3 4" xfId="12078" xr:uid="{00000000-0005-0000-0000-0000DD2C0000}"/>
    <cellStyle name="Normal 7 7 3 2 4" xfId="12079" xr:uid="{00000000-0005-0000-0000-0000DE2C0000}"/>
    <cellStyle name="Normal 7 7 3 2 4 2" xfId="12080" xr:uid="{00000000-0005-0000-0000-0000DF2C0000}"/>
    <cellStyle name="Normal 7 7 3 2 5" xfId="12081" xr:uid="{00000000-0005-0000-0000-0000E02C0000}"/>
    <cellStyle name="Normal 7 7 3 2 5 2" xfId="12082" xr:uid="{00000000-0005-0000-0000-0000E12C0000}"/>
    <cellStyle name="Normal 7 7 3 2 6" xfId="12083" xr:uid="{00000000-0005-0000-0000-0000E22C0000}"/>
    <cellStyle name="Normal 7 7 3 2 6 2" xfId="12084" xr:uid="{00000000-0005-0000-0000-0000E32C0000}"/>
    <cellStyle name="Normal 7 7 3 2 7" xfId="12085" xr:uid="{00000000-0005-0000-0000-0000E42C0000}"/>
    <cellStyle name="Normal 7 7 3 2 8" xfId="12086" xr:uid="{00000000-0005-0000-0000-0000E52C0000}"/>
    <cellStyle name="Normal 7 7 3 2 9" xfId="12087" xr:uid="{00000000-0005-0000-0000-0000E62C0000}"/>
    <cellStyle name="Normal 7 7 3 3" xfId="12088" xr:uid="{00000000-0005-0000-0000-0000E72C0000}"/>
    <cellStyle name="Normal 7 7 3 3 2" xfId="12089" xr:uid="{00000000-0005-0000-0000-0000E82C0000}"/>
    <cellStyle name="Normal 7 7 3 3 2 2" xfId="12090" xr:uid="{00000000-0005-0000-0000-0000E92C0000}"/>
    <cellStyle name="Normal 7 7 3 3 2 3" xfId="12091" xr:uid="{00000000-0005-0000-0000-0000EA2C0000}"/>
    <cellStyle name="Normal 7 7 3 3 3" xfId="12092" xr:uid="{00000000-0005-0000-0000-0000EB2C0000}"/>
    <cellStyle name="Normal 7 7 3 3 3 2" xfId="12093" xr:uid="{00000000-0005-0000-0000-0000EC2C0000}"/>
    <cellStyle name="Normal 7 7 3 3 4" xfId="12094" xr:uid="{00000000-0005-0000-0000-0000ED2C0000}"/>
    <cellStyle name="Normal 7 7 3 3 5" xfId="12095" xr:uid="{00000000-0005-0000-0000-0000EE2C0000}"/>
    <cellStyle name="Normal 7 7 3 3 6" xfId="12096" xr:uid="{00000000-0005-0000-0000-0000EF2C0000}"/>
    <cellStyle name="Normal 7 7 3 3 7" xfId="12097" xr:uid="{00000000-0005-0000-0000-0000F02C0000}"/>
    <cellStyle name="Normal 7 7 3 3 8" xfId="12098" xr:uid="{00000000-0005-0000-0000-0000F12C0000}"/>
    <cellStyle name="Normal 7 7 3 4" xfId="12099" xr:uid="{00000000-0005-0000-0000-0000F22C0000}"/>
    <cellStyle name="Normal 7 7 3 4 2" xfId="12100" xr:uid="{00000000-0005-0000-0000-0000F32C0000}"/>
    <cellStyle name="Normal 7 7 3 4 2 2" xfId="12101" xr:uid="{00000000-0005-0000-0000-0000F42C0000}"/>
    <cellStyle name="Normal 7 7 3 4 3" xfId="12102" xr:uid="{00000000-0005-0000-0000-0000F52C0000}"/>
    <cellStyle name="Normal 7 7 3 4 4" xfId="12103" xr:uid="{00000000-0005-0000-0000-0000F62C0000}"/>
    <cellStyle name="Normal 7 7 3 5" xfId="12104" xr:uid="{00000000-0005-0000-0000-0000F72C0000}"/>
    <cellStyle name="Normal 7 7 3 5 2" xfId="12105" xr:uid="{00000000-0005-0000-0000-0000F82C0000}"/>
    <cellStyle name="Normal 7 7 3 6" xfId="12106" xr:uid="{00000000-0005-0000-0000-0000F92C0000}"/>
    <cellStyle name="Normal 7 7 3 6 2" xfId="12107" xr:uid="{00000000-0005-0000-0000-0000FA2C0000}"/>
    <cellStyle name="Normal 7 7 3 7" xfId="12108" xr:uid="{00000000-0005-0000-0000-0000FB2C0000}"/>
    <cellStyle name="Normal 7 7 3 7 2" xfId="12109" xr:uid="{00000000-0005-0000-0000-0000FC2C0000}"/>
    <cellStyle name="Normal 7 7 3 8" xfId="12110" xr:uid="{00000000-0005-0000-0000-0000FD2C0000}"/>
    <cellStyle name="Normal 7 7 3 9" xfId="12111" xr:uid="{00000000-0005-0000-0000-0000FE2C0000}"/>
    <cellStyle name="Normal 7 7 4" xfId="12112" xr:uid="{00000000-0005-0000-0000-0000FF2C0000}"/>
    <cellStyle name="Normal 7 7 4 10" xfId="12113" xr:uid="{00000000-0005-0000-0000-0000002D0000}"/>
    <cellStyle name="Normal 7 7 4 11" xfId="12114" xr:uid="{00000000-0005-0000-0000-0000012D0000}"/>
    <cellStyle name="Normal 7 7 4 2" xfId="12115" xr:uid="{00000000-0005-0000-0000-0000022D0000}"/>
    <cellStyle name="Normal 7 7 4 2 2" xfId="12116" xr:uid="{00000000-0005-0000-0000-0000032D0000}"/>
    <cellStyle name="Normal 7 7 4 2 2 2" xfId="12117" xr:uid="{00000000-0005-0000-0000-0000042D0000}"/>
    <cellStyle name="Normal 7 7 4 2 2 3" xfId="12118" xr:uid="{00000000-0005-0000-0000-0000052D0000}"/>
    <cellStyle name="Normal 7 7 4 2 3" xfId="12119" xr:uid="{00000000-0005-0000-0000-0000062D0000}"/>
    <cellStyle name="Normal 7 7 4 2 3 2" xfId="12120" xr:uid="{00000000-0005-0000-0000-0000072D0000}"/>
    <cellStyle name="Normal 7 7 4 2 4" xfId="12121" xr:uid="{00000000-0005-0000-0000-0000082D0000}"/>
    <cellStyle name="Normal 7 7 4 2 5" xfId="12122" xr:uid="{00000000-0005-0000-0000-0000092D0000}"/>
    <cellStyle name="Normal 7 7 4 2 6" xfId="12123" xr:uid="{00000000-0005-0000-0000-00000A2D0000}"/>
    <cellStyle name="Normal 7 7 4 2 7" xfId="12124" xr:uid="{00000000-0005-0000-0000-00000B2D0000}"/>
    <cellStyle name="Normal 7 7 4 2 8" xfId="12125" xr:uid="{00000000-0005-0000-0000-00000C2D0000}"/>
    <cellStyle name="Normal 7 7 4 3" xfId="12126" xr:uid="{00000000-0005-0000-0000-00000D2D0000}"/>
    <cellStyle name="Normal 7 7 4 3 2" xfId="12127" xr:uid="{00000000-0005-0000-0000-00000E2D0000}"/>
    <cellStyle name="Normal 7 7 4 3 2 2" xfId="12128" xr:uid="{00000000-0005-0000-0000-00000F2D0000}"/>
    <cellStyle name="Normal 7 7 4 3 3" xfId="12129" xr:uid="{00000000-0005-0000-0000-0000102D0000}"/>
    <cellStyle name="Normal 7 7 4 3 4" xfId="12130" xr:uid="{00000000-0005-0000-0000-0000112D0000}"/>
    <cellStyle name="Normal 7 7 4 4" xfId="12131" xr:uid="{00000000-0005-0000-0000-0000122D0000}"/>
    <cellStyle name="Normal 7 7 4 4 2" xfId="12132" xr:uid="{00000000-0005-0000-0000-0000132D0000}"/>
    <cellStyle name="Normal 7 7 4 5" xfId="12133" xr:uid="{00000000-0005-0000-0000-0000142D0000}"/>
    <cellStyle name="Normal 7 7 4 5 2" xfId="12134" xr:uid="{00000000-0005-0000-0000-0000152D0000}"/>
    <cellStyle name="Normal 7 7 4 6" xfId="12135" xr:uid="{00000000-0005-0000-0000-0000162D0000}"/>
    <cellStyle name="Normal 7 7 4 6 2" xfId="12136" xr:uid="{00000000-0005-0000-0000-0000172D0000}"/>
    <cellStyle name="Normal 7 7 4 7" xfId="12137" xr:uid="{00000000-0005-0000-0000-0000182D0000}"/>
    <cellStyle name="Normal 7 7 4 8" xfId="12138" xr:uid="{00000000-0005-0000-0000-0000192D0000}"/>
    <cellStyle name="Normal 7 7 4 9" xfId="12139" xr:uid="{00000000-0005-0000-0000-00001A2D0000}"/>
    <cellStyle name="Normal 7 7 5" xfId="12140" xr:uid="{00000000-0005-0000-0000-00001B2D0000}"/>
    <cellStyle name="Normal 7 7 5 2" xfId="12141" xr:uid="{00000000-0005-0000-0000-00001C2D0000}"/>
    <cellStyle name="Normal 7 7 5 2 2" xfId="12142" xr:uid="{00000000-0005-0000-0000-00001D2D0000}"/>
    <cellStyle name="Normal 7 7 5 2 3" xfId="12143" xr:uid="{00000000-0005-0000-0000-00001E2D0000}"/>
    <cellStyle name="Normal 7 7 5 3" xfId="12144" xr:uid="{00000000-0005-0000-0000-00001F2D0000}"/>
    <cellStyle name="Normal 7 7 5 3 2" xfId="12145" xr:uid="{00000000-0005-0000-0000-0000202D0000}"/>
    <cellStyle name="Normal 7 7 5 4" xfId="12146" xr:uid="{00000000-0005-0000-0000-0000212D0000}"/>
    <cellStyle name="Normal 7 7 5 5" xfId="12147" xr:uid="{00000000-0005-0000-0000-0000222D0000}"/>
    <cellStyle name="Normal 7 7 5 6" xfId="12148" xr:uid="{00000000-0005-0000-0000-0000232D0000}"/>
    <cellStyle name="Normal 7 7 5 7" xfId="12149" xr:uid="{00000000-0005-0000-0000-0000242D0000}"/>
    <cellStyle name="Normal 7 7 5 8" xfId="12150" xr:uid="{00000000-0005-0000-0000-0000252D0000}"/>
    <cellStyle name="Normal 7 7 6" xfId="12151" xr:uid="{00000000-0005-0000-0000-0000262D0000}"/>
    <cellStyle name="Normal 7 7 6 2" xfId="12152" xr:uid="{00000000-0005-0000-0000-0000272D0000}"/>
    <cellStyle name="Normal 7 7 6 2 2" xfId="12153" xr:uid="{00000000-0005-0000-0000-0000282D0000}"/>
    <cellStyle name="Normal 7 7 6 3" xfId="12154" xr:uid="{00000000-0005-0000-0000-0000292D0000}"/>
    <cellStyle name="Normal 7 7 6 4" xfId="12155" xr:uid="{00000000-0005-0000-0000-00002A2D0000}"/>
    <cellStyle name="Normal 7 7 7" xfId="12156" xr:uid="{00000000-0005-0000-0000-00002B2D0000}"/>
    <cellStyle name="Normal 7 7 7 2" xfId="12157" xr:uid="{00000000-0005-0000-0000-00002C2D0000}"/>
    <cellStyle name="Normal 7 7 8" xfId="12158" xr:uid="{00000000-0005-0000-0000-00002D2D0000}"/>
    <cellStyle name="Normal 7 7 8 2" xfId="12159" xr:uid="{00000000-0005-0000-0000-00002E2D0000}"/>
    <cellStyle name="Normal 7 7 9" xfId="12160" xr:uid="{00000000-0005-0000-0000-00002F2D0000}"/>
    <cellStyle name="Normal 7 7 9 2" xfId="12161" xr:uid="{00000000-0005-0000-0000-0000302D0000}"/>
    <cellStyle name="Normal 7 8" xfId="2473" xr:uid="{00000000-0005-0000-0000-0000312D0000}"/>
    <cellStyle name="Normal 7 8 2" xfId="2474" xr:uid="{00000000-0005-0000-0000-0000322D0000}"/>
    <cellStyle name="Normal 7 9" xfId="2475" xr:uid="{00000000-0005-0000-0000-0000332D0000}"/>
    <cellStyle name="Normal 70" xfId="12162" xr:uid="{00000000-0005-0000-0000-0000342D0000}"/>
    <cellStyle name="Normal 71" xfId="12163" xr:uid="{00000000-0005-0000-0000-0000352D0000}"/>
    <cellStyle name="Normal 72" xfId="12164" xr:uid="{00000000-0005-0000-0000-0000362D0000}"/>
    <cellStyle name="Normal 72 2" xfId="12165" xr:uid="{00000000-0005-0000-0000-0000372D0000}"/>
    <cellStyle name="Normal 73" xfId="12166" xr:uid="{00000000-0005-0000-0000-0000382D0000}"/>
    <cellStyle name="Normal 73 2" xfId="12167" xr:uid="{00000000-0005-0000-0000-0000392D0000}"/>
    <cellStyle name="Normal 74" xfId="12168" xr:uid="{00000000-0005-0000-0000-00003A2D0000}"/>
    <cellStyle name="Normal 75" xfId="12169" xr:uid="{00000000-0005-0000-0000-00003B2D0000}"/>
    <cellStyle name="Normal 76" xfId="12170" xr:uid="{00000000-0005-0000-0000-00003C2D0000}"/>
    <cellStyle name="Normal 77" xfId="12171" xr:uid="{00000000-0005-0000-0000-00003D2D0000}"/>
    <cellStyle name="Normal 78" xfId="12172" xr:uid="{00000000-0005-0000-0000-00003E2D0000}"/>
    <cellStyle name="Normal 79" xfId="12173" xr:uid="{00000000-0005-0000-0000-00003F2D0000}"/>
    <cellStyle name="Normal 8" xfId="2476" xr:uid="{00000000-0005-0000-0000-0000402D0000}"/>
    <cellStyle name="Normal 8 10" xfId="12174" xr:uid="{00000000-0005-0000-0000-0000412D0000}"/>
    <cellStyle name="Normal 8 11" xfId="12175" xr:uid="{00000000-0005-0000-0000-0000422D0000}"/>
    <cellStyle name="Normal 8 2" xfId="2477" xr:uid="{00000000-0005-0000-0000-0000432D0000}"/>
    <cellStyle name="Normal 8 2 10" xfId="12176" xr:uid="{00000000-0005-0000-0000-0000442D0000}"/>
    <cellStyle name="Normal 8 2 11" xfId="12177" xr:uid="{00000000-0005-0000-0000-0000452D0000}"/>
    <cellStyle name="Normal 8 2 12" xfId="12178" xr:uid="{00000000-0005-0000-0000-0000462D0000}"/>
    <cellStyle name="Normal 8 2 13" xfId="12179" xr:uid="{00000000-0005-0000-0000-0000472D0000}"/>
    <cellStyle name="Normal 8 2 14" xfId="12180" xr:uid="{00000000-0005-0000-0000-0000482D0000}"/>
    <cellStyle name="Normal 8 2 15" xfId="12181" xr:uid="{00000000-0005-0000-0000-0000492D0000}"/>
    <cellStyle name="Normal 8 2 2" xfId="2478" xr:uid="{00000000-0005-0000-0000-00004A2D0000}"/>
    <cellStyle name="Normal 8 2 2 10" xfId="12182" xr:uid="{00000000-0005-0000-0000-00004B2D0000}"/>
    <cellStyle name="Normal 8 2 2 11" xfId="12183" xr:uid="{00000000-0005-0000-0000-00004C2D0000}"/>
    <cellStyle name="Normal 8 2 2 12" xfId="12184" xr:uid="{00000000-0005-0000-0000-00004D2D0000}"/>
    <cellStyle name="Normal 8 2 2 13" xfId="12185" xr:uid="{00000000-0005-0000-0000-00004E2D0000}"/>
    <cellStyle name="Normal 8 2 2 14" xfId="12186" xr:uid="{00000000-0005-0000-0000-00004F2D0000}"/>
    <cellStyle name="Normal 8 2 2 2" xfId="2479" xr:uid="{00000000-0005-0000-0000-0000502D0000}"/>
    <cellStyle name="Normal 8 2 2 2 10" xfId="12187" xr:uid="{00000000-0005-0000-0000-0000512D0000}"/>
    <cellStyle name="Normal 8 2 2 2 11" xfId="12188" xr:uid="{00000000-0005-0000-0000-0000522D0000}"/>
    <cellStyle name="Normal 8 2 2 2 12" xfId="12189" xr:uid="{00000000-0005-0000-0000-0000532D0000}"/>
    <cellStyle name="Normal 8 2 2 2 13" xfId="12190" xr:uid="{00000000-0005-0000-0000-0000542D0000}"/>
    <cellStyle name="Normal 8 2 2 2 2" xfId="2480" xr:uid="{00000000-0005-0000-0000-0000552D0000}"/>
    <cellStyle name="Normal 8 2 2 2 2 10" xfId="12191" xr:uid="{00000000-0005-0000-0000-0000562D0000}"/>
    <cellStyle name="Normal 8 2 2 2 2 11" xfId="12192" xr:uid="{00000000-0005-0000-0000-0000572D0000}"/>
    <cellStyle name="Normal 8 2 2 2 2 12" xfId="12193" xr:uid="{00000000-0005-0000-0000-0000582D0000}"/>
    <cellStyle name="Normal 8 2 2 2 2 2" xfId="2481" xr:uid="{00000000-0005-0000-0000-0000592D0000}"/>
    <cellStyle name="Normal 8 2 2 2 2 2 2" xfId="2482" xr:uid="{00000000-0005-0000-0000-00005A2D0000}"/>
    <cellStyle name="Normal 8 2 2 2 2 2 2 2" xfId="2483" xr:uid="{00000000-0005-0000-0000-00005B2D0000}"/>
    <cellStyle name="Normal 8 2 2 2 2 2 2 2 2" xfId="2484" xr:uid="{00000000-0005-0000-0000-00005C2D0000}"/>
    <cellStyle name="Normal 8 2 2 2 2 2 2 3" xfId="2485" xr:uid="{00000000-0005-0000-0000-00005D2D0000}"/>
    <cellStyle name="Normal 8 2 2 2 2 2 3" xfId="2486" xr:uid="{00000000-0005-0000-0000-00005E2D0000}"/>
    <cellStyle name="Normal 8 2 2 2 2 2 3 2" xfId="2487" xr:uid="{00000000-0005-0000-0000-00005F2D0000}"/>
    <cellStyle name="Normal 8 2 2 2 2 2 4" xfId="2488" xr:uid="{00000000-0005-0000-0000-0000602D0000}"/>
    <cellStyle name="Normal 8 2 2 2 2 2 5" xfId="12194" xr:uid="{00000000-0005-0000-0000-0000612D0000}"/>
    <cellStyle name="Normal 8 2 2 2 2 2 6" xfId="12195" xr:uid="{00000000-0005-0000-0000-0000622D0000}"/>
    <cellStyle name="Normal 8 2 2 2 2 2 7" xfId="12196" xr:uid="{00000000-0005-0000-0000-0000632D0000}"/>
    <cellStyle name="Normal 8 2 2 2 2 2 8" xfId="12197" xr:uid="{00000000-0005-0000-0000-0000642D0000}"/>
    <cellStyle name="Normal 8 2 2 2 2 2 9" xfId="12198" xr:uid="{00000000-0005-0000-0000-0000652D0000}"/>
    <cellStyle name="Normal 8 2 2 2 2 3" xfId="2489" xr:uid="{00000000-0005-0000-0000-0000662D0000}"/>
    <cellStyle name="Normal 8 2 2 2 2 3 2" xfId="2490" xr:uid="{00000000-0005-0000-0000-0000672D0000}"/>
    <cellStyle name="Normal 8 2 2 2 2 3 2 2" xfId="2491" xr:uid="{00000000-0005-0000-0000-0000682D0000}"/>
    <cellStyle name="Normal 8 2 2 2 2 3 3" xfId="2492" xr:uid="{00000000-0005-0000-0000-0000692D0000}"/>
    <cellStyle name="Normal 8 2 2 2 2 3 4" xfId="12199" xr:uid="{00000000-0005-0000-0000-00006A2D0000}"/>
    <cellStyle name="Normal 8 2 2 2 2 4" xfId="2493" xr:uid="{00000000-0005-0000-0000-00006B2D0000}"/>
    <cellStyle name="Normal 8 2 2 2 2 4 2" xfId="2494" xr:uid="{00000000-0005-0000-0000-00006C2D0000}"/>
    <cellStyle name="Normal 8 2 2 2 2 5" xfId="2495" xr:uid="{00000000-0005-0000-0000-00006D2D0000}"/>
    <cellStyle name="Normal 8 2 2 2 2 5 2" xfId="12200" xr:uid="{00000000-0005-0000-0000-00006E2D0000}"/>
    <cellStyle name="Normal 8 2 2 2 2 6" xfId="12201" xr:uid="{00000000-0005-0000-0000-00006F2D0000}"/>
    <cellStyle name="Normal 8 2 2 2 2 6 2" xfId="12202" xr:uid="{00000000-0005-0000-0000-0000702D0000}"/>
    <cellStyle name="Normal 8 2 2 2 2 7" xfId="12203" xr:uid="{00000000-0005-0000-0000-0000712D0000}"/>
    <cellStyle name="Normal 8 2 2 2 2 8" xfId="12204" xr:uid="{00000000-0005-0000-0000-0000722D0000}"/>
    <cellStyle name="Normal 8 2 2 2 2 9" xfId="12205" xr:uid="{00000000-0005-0000-0000-0000732D0000}"/>
    <cellStyle name="Normal 8 2 2 2 3" xfId="2496" xr:uid="{00000000-0005-0000-0000-0000742D0000}"/>
    <cellStyle name="Normal 8 2 2 2 3 2" xfId="2497" xr:uid="{00000000-0005-0000-0000-0000752D0000}"/>
    <cellStyle name="Normal 8 2 2 2 3 2 2" xfId="2498" xr:uid="{00000000-0005-0000-0000-0000762D0000}"/>
    <cellStyle name="Normal 8 2 2 2 3 2 2 2" xfId="2499" xr:uid="{00000000-0005-0000-0000-0000772D0000}"/>
    <cellStyle name="Normal 8 2 2 2 3 2 3" xfId="2500" xr:uid="{00000000-0005-0000-0000-0000782D0000}"/>
    <cellStyle name="Normal 8 2 2 2 3 3" xfId="2501" xr:uid="{00000000-0005-0000-0000-0000792D0000}"/>
    <cellStyle name="Normal 8 2 2 2 3 3 2" xfId="2502" xr:uid="{00000000-0005-0000-0000-00007A2D0000}"/>
    <cellStyle name="Normal 8 2 2 2 3 4" xfId="2503" xr:uid="{00000000-0005-0000-0000-00007B2D0000}"/>
    <cellStyle name="Normal 8 2 2 2 3 5" xfId="12206" xr:uid="{00000000-0005-0000-0000-00007C2D0000}"/>
    <cellStyle name="Normal 8 2 2 2 3 6" xfId="12207" xr:uid="{00000000-0005-0000-0000-00007D2D0000}"/>
    <cellStyle name="Normal 8 2 2 2 3 7" xfId="12208" xr:uid="{00000000-0005-0000-0000-00007E2D0000}"/>
    <cellStyle name="Normal 8 2 2 2 3 8" xfId="12209" xr:uid="{00000000-0005-0000-0000-00007F2D0000}"/>
    <cellStyle name="Normal 8 2 2 2 3 9" xfId="12210" xr:uid="{00000000-0005-0000-0000-0000802D0000}"/>
    <cellStyle name="Normal 8 2 2 2 4" xfId="2504" xr:uid="{00000000-0005-0000-0000-0000812D0000}"/>
    <cellStyle name="Normal 8 2 2 2 4 2" xfId="2505" xr:uid="{00000000-0005-0000-0000-0000822D0000}"/>
    <cellStyle name="Normal 8 2 2 2 4 2 2" xfId="2506" xr:uid="{00000000-0005-0000-0000-0000832D0000}"/>
    <cellStyle name="Normal 8 2 2 2 4 3" xfId="2507" xr:uid="{00000000-0005-0000-0000-0000842D0000}"/>
    <cellStyle name="Normal 8 2 2 2 4 4" xfId="12211" xr:uid="{00000000-0005-0000-0000-0000852D0000}"/>
    <cellStyle name="Normal 8 2 2 2 5" xfId="2508" xr:uid="{00000000-0005-0000-0000-0000862D0000}"/>
    <cellStyle name="Normal 8 2 2 2 5 2" xfId="2509" xr:uid="{00000000-0005-0000-0000-0000872D0000}"/>
    <cellStyle name="Normal 8 2 2 2 6" xfId="2510" xr:uid="{00000000-0005-0000-0000-0000882D0000}"/>
    <cellStyle name="Normal 8 2 2 2 6 2" xfId="12212" xr:uid="{00000000-0005-0000-0000-0000892D0000}"/>
    <cellStyle name="Normal 8 2 2 2 7" xfId="12213" xr:uid="{00000000-0005-0000-0000-00008A2D0000}"/>
    <cellStyle name="Normal 8 2 2 2 7 2" xfId="12214" xr:uid="{00000000-0005-0000-0000-00008B2D0000}"/>
    <cellStyle name="Normal 8 2 2 2 8" xfId="12215" xr:uid="{00000000-0005-0000-0000-00008C2D0000}"/>
    <cellStyle name="Normal 8 2 2 2 9" xfId="12216" xr:uid="{00000000-0005-0000-0000-00008D2D0000}"/>
    <cellStyle name="Normal 8 2 2 3" xfId="2511" xr:uid="{00000000-0005-0000-0000-00008E2D0000}"/>
    <cellStyle name="Normal 8 2 2 3 10" xfId="12217" xr:uid="{00000000-0005-0000-0000-00008F2D0000}"/>
    <cellStyle name="Normal 8 2 2 3 11" xfId="12218" xr:uid="{00000000-0005-0000-0000-0000902D0000}"/>
    <cellStyle name="Normal 8 2 2 3 12" xfId="12219" xr:uid="{00000000-0005-0000-0000-0000912D0000}"/>
    <cellStyle name="Normal 8 2 2 3 2" xfId="2512" xr:uid="{00000000-0005-0000-0000-0000922D0000}"/>
    <cellStyle name="Normal 8 2 2 3 2 2" xfId="2513" xr:uid="{00000000-0005-0000-0000-0000932D0000}"/>
    <cellStyle name="Normal 8 2 2 3 2 2 2" xfId="2514" xr:uid="{00000000-0005-0000-0000-0000942D0000}"/>
    <cellStyle name="Normal 8 2 2 3 2 2 2 2" xfId="2515" xr:uid="{00000000-0005-0000-0000-0000952D0000}"/>
    <cellStyle name="Normal 8 2 2 3 2 2 3" xfId="2516" xr:uid="{00000000-0005-0000-0000-0000962D0000}"/>
    <cellStyle name="Normal 8 2 2 3 2 3" xfId="2517" xr:uid="{00000000-0005-0000-0000-0000972D0000}"/>
    <cellStyle name="Normal 8 2 2 3 2 3 2" xfId="2518" xr:uid="{00000000-0005-0000-0000-0000982D0000}"/>
    <cellStyle name="Normal 8 2 2 3 2 4" xfId="2519" xr:uid="{00000000-0005-0000-0000-0000992D0000}"/>
    <cellStyle name="Normal 8 2 2 3 2 5" xfId="12220" xr:uid="{00000000-0005-0000-0000-00009A2D0000}"/>
    <cellStyle name="Normal 8 2 2 3 2 6" xfId="12221" xr:uid="{00000000-0005-0000-0000-00009B2D0000}"/>
    <cellStyle name="Normal 8 2 2 3 2 7" xfId="12222" xr:uid="{00000000-0005-0000-0000-00009C2D0000}"/>
    <cellStyle name="Normal 8 2 2 3 2 8" xfId="12223" xr:uid="{00000000-0005-0000-0000-00009D2D0000}"/>
    <cellStyle name="Normal 8 2 2 3 2 9" xfId="12224" xr:uid="{00000000-0005-0000-0000-00009E2D0000}"/>
    <cellStyle name="Normal 8 2 2 3 3" xfId="2520" xr:uid="{00000000-0005-0000-0000-00009F2D0000}"/>
    <cellStyle name="Normal 8 2 2 3 3 2" xfId="2521" xr:uid="{00000000-0005-0000-0000-0000A02D0000}"/>
    <cellStyle name="Normal 8 2 2 3 3 2 2" xfId="2522" xr:uid="{00000000-0005-0000-0000-0000A12D0000}"/>
    <cellStyle name="Normal 8 2 2 3 3 3" xfId="2523" xr:uid="{00000000-0005-0000-0000-0000A22D0000}"/>
    <cellStyle name="Normal 8 2 2 3 3 4" xfId="12225" xr:uid="{00000000-0005-0000-0000-0000A32D0000}"/>
    <cellStyle name="Normal 8 2 2 3 4" xfId="2524" xr:uid="{00000000-0005-0000-0000-0000A42D0000}"/>
    <cellStyle name="Normal 8 2 2 3 4 2" xfId="2525" xr:uid="{00000000-0005-0000-0000-0000A52D0000}"/>
    <cellStyle name="Normal 8 2 2 3 5" xfId="2526" xr:uid="{00000000-0005-0000-0000-0000A62D0000}"/>
    <cellStyle name="Normal 8 2 2 3 5 2" xfId="12226" xr:uid="{00000000-0005-0000-0000-0000A72D0000}"/>
    <cellStyle name="Normal 8 2 2 3 6" xfId="12227" xr:uid="{00000000-0005-0000-0000-0000A82D0000}"/>
    <cellStyle name="Normal 8 2 2 3 6 2" xfId="12228" xr:uid="{00000000-0005-0000-0000-0000A92D0000}"/>
    <cellStyle name="Normal 8 2 2 3 7" xfId="12229" xr:uid="{00000000-0005-0000-0000-0000AA2D0000}"/>
    <cellStyle name="Normal 8 2 2 3 8" xfId="12230" xr:uid="{00000000-0005-0000-0000-0000AB2D0000}"/>
    <cellStyle name="Normal 8 2 2 3 9" xfId="12231" xr:uid="{00000000-0005-0000-0000-0000AC2D0000}"/>
    <cellStyle name="Normal 8 2 2 4" xfId="2527" xr:uid="{00000000-0005-0000-0000-0000AD2D0000}"/>
    <cellStyle name="Normal 8 2 2 4 2" xfId="2528" xr:uid="{00000000-0005-0000-0000-0000AE2D0000}"/>
    <cellStyle name="Normal 8 2 2 4 2 2" xfId="2529" xr:uid="{00000000-0005-0000-0000-0000AF2D0000}"/>
    <cellStyle name="Normal 8 2 2 4 2 2 2" xfId="2530" xr:uid="{00000000-0005-0000-0000-0000B02D0000}"/>
    <cellStyle name="Normal 8 2 2 4 2 3" xfId="2531" xr:uid="{00000000-0005-0000-0000-0000B12D0000}"/>
    <cellStyle name="Normal 8 2 2 4 3" xfId="2532" xr:uid="{00000000-0005-0000-0000-0000B22D0000}"/>
    <cellStyle name="Normal 8 2 2 4 3 2" xfId="2533" xr:uid="{00000000-0005-0000-0000-0000B32D0000}"/>
    <cellStyle name="Normal 8 2 2 4 4" xfId="2534" xr:uid="{00000000-0005-0000-0000-0000B42D0000}"/>
    <cellStyle name="Normal 8 2 2 4 5" xfId="12232" xr:uid="{00000000-0005-0000-0000-0000B52D0000}"/>
    <cellStyle name="Normal 8 2 2 4 6" xfId="12233" xr:uid="{00000000-0005-0000-0000-0000B62D0000}"/>
    <cellStyle name="Normal 8 2 2 4 7" xfId="12234" xr:uid="{00000000-0005-0000-0000-0000B72D0000}"/>
    <cellStyle name="Normal 8 2 2 4 8" xfId="12235" xr:uid="{00000000-0005-0000-0000-0000B82D0000}"/>
    <cellStyle name="Normal 8 2 2 4 9" xfId="12236" xr:uid="{00000000-0005-0000-0000-0000B92D0000}"/>
    <cellStyle name="Normal 8 2 2 5" xfId="2535" xr:uid="{00000000-0005-0000-0000-0000BA2D0000}"/>
    <cellStyle name="Normal 8 2 2 5 2" xfId="2536" xr:uid="{00000000-0005-0000-0000-0000BB2D0000}"/>
    <cellStyle name="Normal 8 2 2 5 2 2" xfId="2537" xr:uid="{00000000-0005-0000-0000-0000BC2D0000}"/>
    <cellStyle name="Normal 8 2 2 5 3" xfId="2538" xr:uid="{00000000-0005-0000-0000-0000BD2D0000}"/>
    <cellStyle name="Normal 8 2 2 5 4" xfId="12237" xr:uid="{00000000-0005-0000-0000-0000BE2D0000}"/>
    <cellStyle name="Normal 8 2 2 6" xfId="2539" xr:uid="{00000000-0005-0000-0000-0000BF2D0000}"/>
    <cellStyle name="Normal 8 2 2 6 2" xfId="2540" xr:uid="{00000000-0005-0000-0000-0000C02D0000}"/>
    <cellStyle name="Normal 8 2 2 7" xfId="2541" xr:uid="{00000000-0005-0000-0000-0000C12D0000}"/>
    <cellStyle name="Normal 8 2 2 7 2" xfId="12238" xr:uid="{00000000-0005-0000-0000-0000C22D0000}"/>
    <cellStyle name="Normal 8 2 2 8" xfId="12239" xr:uid="{00000000-0005-0000-0000-0000C32D0000}"/>
    <cellStyle name="Normal 8 2 2 8 2" xfId="12240" xr:uid="{00000000-0005-0000-0000-0000C42D0000}"/>
    <cellStyle name="Normal 8 2 2 9" xfId="12241" xr:uid="{00000000-0005-0000-0000-0000C52D0000}"/>
    <cellStyle name="Normal 8 2 3" xfId="2542" xr:uid="{00000000-0005-0000-0000-0000C62D0000}"/>
    <cellStyle name="Normal 8 2 3 10" xfId="12242" xr:uid="{00000000-0005-0000-0000-0000C72D0000}"/>
    <cellStyle name="Normal 8 2 3 11" xfId="12243" xr:uid="{00000000-0005-0000-0000-0000C82D0000}"/>
    <cellStyle name="Normal 8 2 3 12" xfId="12244" xr:uid="{00000000-0005-0000-0000-0000C92D0000}"/>
    <cellStyle name="Normal 8 2 3 13" xfId="12245" xr:uid="{00000000-0005-0000-0000-0000CA2D0000}"/>
    <cellStyle name="Normal 8 2 3 2" xfId="2543" xr:uid="{00000000-0005-0000-0000-0000CB2D0000}"/>
    <cellStyle name="Normal 8 2 3 2 10" xfId="12246" xr:uid="{00000000-0005-0000-0000-0000CC2D0000}"/>
    <cellStyle name="Normal 8 2 3 2 11" xfId="12247" xr:uid="{00000000-0005-0000-0000-0000CD2D0000}"/>
    <cellStyle name="Normal 8 2 3 2 12" xfId="12248" xr:uid="{00000000-0005-0000-0000-0000CE2D0000}"/>
    <cellStyle name="Normal 8 2 3 2 2" xfId="2544" xr:uid="{00000000-0005-0000-0000-0000CF2D0000}"/>
    <cellStyle name="Normal 8 2 3 2 2 2" xfId="2545" xr:uid="{00000000-0005-0000-0000-0000D02D0000}"/>
    <cellStyle name="Normal 8 2 3 2 2 2 2" xfId="2546" xr:uid="{00000000-0005-0000-0000-0000D12D0000}"/>
    <cellStyle name="Normal 8 2 3 2 2 2 2 2" xfId="2547" xr:uid="{00000000-0005-0000-0000-0000D22D0000}"/>
    <cellStyle name="Normal 8 2 3 2 2 2 3" xfId="2548" xr:uid="{00000000-0005-0000-0000-0000D32D0000}"/>
    <cellStyle name="Normal 8 2 3 2 2 3" xfId="2549" xr:uid="{00000000-0005-0000-0000-0000D42D0000}"/>
    <cellStyle name="Normal 8 2 3 2 2 3 2" xfId="2550" xr:uid="{00000000-0005-0000-0000-0000D52D0000}"/>
    <cellStyle name="Normal 8 2 3 2 2 4" xfId="2551" xr:uid="{00000000-0005-0000-0000-0000D62D0000}"/>
    <cellStyle name="Normal 8 2 3 2 2 5" xfId="12249" xr:uid="{00000000-0005-0000-0000-0000D72D0000}"/>
    <cellStyle name="Normal 8 2 3 2 2 6" xfId="12250" xr:uid="{00000000-0005-0000-0000-0000D82D0000}"/>
    <cellStyle name="Normal 8 2 3 2 2 7" xfId="12251" xr:uid="{00000000-0005-0000-0000-0000D92D0000}"/>
    <cellStyle name="Normal 8 2 3 2 2 8" xfId="12252" xr:uid="{00000000-0005-0000-0000-0000DA2D0000}"/>
    <cellStyle name="Normal 8 2 3 2 2 9" xfId="12253" xr:uid="{00000000-0005-0000-0000-0000DB2D0000}"/>
    <cellStyle name="Normal 8 2 3 2 3" xfId="2552" xr:uid="{00000000-0005-0000-0000-0000DC2D0000}"/>
    <cellStyle name="Normal 8 2 3 2 3 2" xfId="2553" xr:uid="{00000000-0005-0000-0000-0000DD2D0000}"/>
    <cellStyle name="Normal 8 2 3 2 3 2 2" xfId="2554" xr:uid="{00000000-0005-0000-0000-0000DE2D0000}"/>
    <cellStyle name="Normal 8 2 3 2 3 3" xfId="2555" xr:uid="{00000000-0005-0000-0000-0000DF2D0000}"/>
    <cellStyle name="Normal 8 2 3 2 3 4" xfId="12254" xr:uid="{00000000-0005-0000-0000-0000E02D0000}"/>
    <cellStyle name="Normal 8 2 3 2 4" xfId="2556" xr:uid="{00000000-0005-0000-0000-0000E12D0000}"/>
    <cellStyle name="Normal 8 2 3 2 4 2" xfId="2557" xr:uid="{00000000-0005-0000-0000-0000E22D0000}"/>
    <cellStyle name="Normal 8 2 3 2 5" xfId="2558" xr:uid="{00000000-0005-0000-0000-0000E32D0000}"/>
    <cellStyle name="Normal 8 2 3 2 5 2" xfId="12255" xr:uid="{00000000-0005-0000-0000-0000E42D0000}"/>
    <cellStyle name="Normal 8 2 3 2 6" xfId="12256" xr:uid="{00000000-0005-0000-0000-0000E52D0000}"/>
    <cellStyle name="Normal 8 2 3 2 6 2" xfId="12257" xr:uid="{00000000-0005-0000-0000-0000E62D0000}"/>
    <cellStyle name="Normal 8 2 3 2 7" xfId="12258" xr:uid="{00000000-0005-0000-0000-0000E72D0000}"/>
    <cellStyle name="Normal 8 2 3 2 8" xfId="12259" xr:uid="{00000000-0005-0000-0000-0000E82D0000}"/>
    <cellStyle name="Normal 8 2 3 2 9" xfId="12260" xr:uid="{00000000-0005-0000-0000-0000E92D0000}"/>
    <cellStyle name="Normal 8 2 3 3" xfId="2559" xr:uid="{00000000-0005-0000-0000-0000EA2D0000}"/>
    <cellStyle name="Normal 8 2 3 3 2" xfId="2560" xr:uid="{00000000-0005-0000-0000-0000EB2D0000}"/>
    <cellStyle name="Normal 8 2 3 3 2 2" xfId="2561" xr:uid="{00000000-0005-0000-0000-0000EC2D0000}"/>
    <cellStyle name="Normal 8 2 3 3 2 2 2" xfId="2562" xr:uid="{00000000-0005-0000-0000-0000ED2D0000}"/>
    <cellStyle name="Normal 8 2 3 3 2 3" xfId="2563" xr:uid="{00000000-0005-0000-0000-0000EE2D0000}"/>
    <cellStyle name="Normal 8 2 3 3 3" xfId="2564" xr:uid="{00000000-0005-0000-0000-0000EF2D0000}"/>
    <cellStyle name="Normal 8 2 3 3 3 2" xfId="2565" xr:uid="{00000000-0005-0000-0000-0000F02D0000}"/>
    <cellStyle name="Normal 8 2 3 3 4" xfId="2566" xr:uid="{00000000-0005-0000-0000-0000F12D0000}"/>
    <cellStyle name="Normal 8 2 3 3 5" xfId="12261" xr:uid="{00000000-0005-0000-0000-0000F22D0000}"/>
    <cellStyle name="Normal 8 2 3 3 6" xfId="12262" xr:uid="{00000000-0005-0000-0000-0000F32D0000}"/>
    <cellStyle name="Normal 8 2 3 3 7" xfId="12263" xr:uid="{00000000-0005-0000-0000-0000F42D0000}"/>
    <cellStyle name="Normal 8 2 3 3 8" xfId="12264" xr:uid="{00000000-0005-0000-0000-0000F52D0000}"/>
    <cellStyle name="Normal 8 2 3 3 9" xfId="12265" xr:uid="{00000000-0005-0000-0000-0000F62D0000}"/>
    <cellStyle name="Normal 8 2 3 4" xfId="2567" xr:uid="{00000000-0005-0000-0000-0000F72D0000}"/>
    <cellStyle name="Normal 8 2 3 4 2" xfId="2568" xr:uid="{00000000-0005-0000-0000-0000F82D0000}"/>
    <cellStyle name="Normal 8 2 3 4 2 2" xfId="2569" xr:uid="{00000000-0005-0000-0000-0000F92D0000}"/>
    <cellStyle name="Normal 8 2 3 4 3" xfId="2570" xr:uid="{00000000-0005-0000-0000-0000FA2D0000}"/>
    <cellStyle name="Normal 8 2 3 4 4" xfId="12266" xr:uid="{00000000-0005-0000-0000-0000FB2D0000}"/>
    <cellStyle name="Normal 8 2 3 5" xfId="2571" xr:uid="{00000000-0005-0000-0000-0000FC2D0000}"/>
    <cellStyle name="Normal 8 2 3 5 2" xfId="2572" xr:uid="{00000000-0005-0000-0000-0000FD2D0000}"/>
    <cellStyle name="Normal 8 2 3 6" xfId="2573" xr:uid="{00000000-0005-0000-0000-0000FE2D0000}"/>
    <cellStyle name="Normal 8 2 3 6 2" xfId="12267" xr:uid="{00000000-0005-0000-0000-0000FF2D0000}"/>
    <cellStyle name="Normal 8 2 3 7" xfId="12268" xr:uid="{00000000-0005-0000-0000-0000002E0000}"/>
    <cellStyle name="Normal 8 2 3 7 2" xfId="12269" xr:uid="{00000000-0005-0000-0000-0000012E0000}"/>
    <cellStyle name="Normal 8 2 3 8" xfId="12270" xr:uid="{00000000-0005-0000-0000-0000022E0000}"/>
    <cellStyle name="Normal 8 2 3 9" xfId="12271" xr:uid="{00000000-0005-0000-0000-0000032E0000}"/>
    <cellStyle name="Normal 8 2 4" xfId="2574" xr:uid="{00000000-0005-0000-0000-0000042E0000}"/>
    <cellStyle name="Normal 8 2 4 10" xfId="12272" xr:uid="{00000000-0005-0000-0000-0000052E0000}"/>
    <cellStyle name="Normal 8 2 4 11" xfId="12273" xr:uid="{00000000-0005-0000-0000-0000062E0000}"/>
    <cellStyle name="Normal 8 2 4 12" xfId="12274" xr:uid="{00000000-0005-0000-0000-0000072E0000}"/>
    <cellStyle name="Normal 8 2 4 2" xfId="2575" xr:uid="{00000000-0005-0000-0000-0000082E0000}"/>
    <cellStyle name="Normal 8 2 4 2 2" xfId="2576" xr:uid="{00000000-0005-0000-0000-0000092E0000}"/>
    <cellStyle name="Normal 8 2 4 2 2 2" xfId="2577" xr:uid="{00000000-0005-0000-0000-00000A2E0000}"/>
    <cellStyle name="Normal 8 2 4 2 2 2 2" xfId="2578" xr:uid="{00000000-0005-0000-0000-00000B2E0000}"/>
    <cellStyle name="Normal 8 2 4 2 2 3" xfId="2579" xr:uid="{00000000-0005-0000-0000-00000C2E0000}"/>
    <cellStyle name="Normal 8 2 4 2 3" xfId="2580" xr:uid="{00000000-0005-0000-0000-00000D2E0000}"/>
    <cellStyle name="Normal 8 2 4 2 3 2" xfId="2581" xr:uid="{00000000-0005-0000-0000-00000E2E0000}"/>
    <cellStyle name="Normal 8 2 4 2 4" xfId="2582" xr:uid="{00000000-0005-0000-0000-00000F2E0000}"/>
    <cellStyle name="Normal 8 2 4 2 5" xfId="12275" xr:uid="{00000000-0005-0000-0000-0000102E0000}"/>
    <cellStyle name="Normal 8 2 4 2 6" xfId="12276" xr:uid="{00000000-0005-0000-0000-0000112E0000}"/>
    <cellStyle name="Normal 8 2 4 2 7" xfId="12277" xr:uid="{00000000-0005-0000-0000-0000122E0000}"/>
    <cellStyle name="Normal 8 2 4 2 8" xfId="12278" xr:uid="{00000000-0005-0000-0000-0000132E0000}"/>
    <cellStyle name="Normal 8 2 4 2 9" xfId="12279" xr:uid="{00000000-0005-0000-0000-0000142E0000}"/>
    <cellStyle name="Normal 8 2 4 3" xfId="2583" xr:uid="{00000000-0005-0000-0000-0000152E0000}"/>
    <cellStyle name="Normal 8 2 4 3 2" xfId="2584" xr:uid="{00000000-0005-0000-0000-0000162E0000}"/>
    <cellStyle name="Normal 8 2 4 3 2 2" xfId="2585" xr:uid="{00000000-0005-0000-0000-0000172E0000}"/>
    <cellStyle name="Normal 8 2 4 3 3" xfId="2586" xr:uid="{00000000-0005-0000-0000-0000182E0000}"/>
    <cellStyle name="Normal 8 2 4 3 4" xfId="12280" xr:uid="{00000000-0005-0000-0000-0000192E0000}"/>
    <cellStyle name="Normal 8 2 4 4" xfId="2587" xr:uid="{00000000-0005-0000-0000-00001A2E0000}"/>
    <cellStyle name="Normal 8 2 4 4 2" xfId="2588" xr:uid="{00000000-0005-0000-0000-00001B2E0000}"/>
    <cellStyle name="Normal 8 2 4 5" xfId="2589" xr:uid="{00000000-0005-0000-0000-00001C2E0000}"/>
    <cellStyle name="Normal 8 2 4 5 2" xfId="12281" xr:uid="{00000000-0005-0000-0000-00001D2E0000}"/>
    <cellStyle name="Normal 8 2 4 6" xfId="12282" xr:uid="{00000000-0005-0000-0000-00001E2E0000}"/>
    <cellStyle name="Normal 8 2 4 6 2" xfId="12283" xr:uid="{00000000-0005-0000-0000-00001F2E0000}"/>
    <cellStyle name="Normal 8 2 4 7" xfId="12284" xr:uid="{00000000-0005-0000-0000-0000202E0000}"/>
    <cellStyle name="Normal 8 2 4 8" xfId="12285" xr:uid="{00000000-0005-0000-0000-0000212E0000}"/>
    <cellStyle name="Normal 8 2 4 9" xfId="12286" xr:uid="{00000000-0005-0000-0000-0000222E0000}"/>
    <cellStyle name="Normal 8 2 5" xfId="2590" xr:uid="{00000000-0005-0000-0000-0000232E0000}"/>
    <cellStyle name="Normal 8 2 5 2" xfId="2591" xr:uid="{00000000-0005-0000-0000-0000242E0000}"/>
    <cellStyle name="Normal 8 2 5 2 2" xfId="2592" xr:uid="{00000000-0005-0000-0000-0000252E0000}"/>
    <cellStyle name="Normal 8 2 5 2 2 2" xfId="2593" xr:uid="{00000000-0005-0000-0000-0000262E0000}"/>
    <cellStyle name="Normal 8 2 5 2 3" xfId="2594" xr:uid="{00000000-0005-0000-0000-0000272E0000}"/>
    <cellStyle name="Normal 8 2 5 3" xfId="2595" xr:uid="{00000000-0005-0000-0000-0000282E0000}"/>
    <cellStyle name="Normal 8 2 5 3 2" xfId="2596" xr:uid="{00000000-0005-0000-0000-0000292E0000}"/>
    <cellStyle name="Normal 8 2 5 4" xfId="2597" xr:uid="{00000000-0005-0000-0000-00002A2E0000}"/>
    <cellStyle name="Normal 8 2 5 5" xfId="12287" xr:uid="{00000000-0005-0000-0000-00002B2E0000}"/>
    <cellStyle name="Normal 8 2 5 6" xfId="12288" xr:uid="{00000000-0005-0000-0000-00002C2E0000}"/>
    <cellStyle name="Normal 8 2 5 7" xfId="12289" xr:uid="{00000000-0005-0000-0000-00002D2E0000}"/>
    <cellStyle name="Normal 8 2 5 8" xfId="12290" xr:uid="{00000000-0005-0000-0000-00002E2E0000}"/>
    <cellStyle name="Normal 8 2 5 9" xfId="12291" xr:uid="{00000000-0005-0000-0000-00002F2E0000}"/>
    <cellStyle name="Normal 8 2 6" xfId="2598" xr:uid="{00000000-0005-0000-0000-0000302E0000}"/>
    <cellStyle name="Normal 8 2 6 2" xfId="2599" xr:uid="{00000000-0005-0000-0000-0000312E0000}"/>
    <cellStyle name="Normal 8 2 6 2 2" xfId="2600" xr:uid="{00000000-0005-0000-0000-0000322E0000}"/>
    <cellStyle name="Normal 8 2 6 3" xfId="2601" xr:uid="{00000000-0005-0000-0000-0000332E0000}"/>
    <cellStyle name="Normal 8 2 6 4" xfId="12292" xr:uid="{00000000-0005-0000-0000-0000342E0000}"/>
    <cellStyle name="Normal 8 2 7" xfId="2602" xr:uid="{00000000-0005-0000-0000-0000352E0000}"/>
    <cellStyle name="Normal 8 2 7 2" xfId="2603" xr:uid="{00000000-0005-0000-0000-0000362E0000}"/>
    <cellStyle name="Normal 8 2 8" xfId="2604" xr:uid="{00000000-0005-0000-0000-0000372E0000}"/>
    <cellStyle name="Normal 8 2 8 2" xfId="12293" xr:uid="{00000000-0005-0000-0000-0000382E0000}"/>
    <cellStyle name="Normal 8 2 9" xfId="12294" xr:uid="{00000000-0005-0000-0000-0000392E0000}"/>
    <cellStyle name="Normal 8 2 9 2" xfId="12295" xr:uid="{00000000-0005-0000-0000-00003A2E0000}"/>
    <cellStyle name="Normal 8 3" xfId="2605" xr:uid="{00000000-0005-0000-0000-00003B2E0000}"/>
    <cellStyle name="Normal 8 3 2" xfId="2606" xr:uid="{00000000-0005-0000-0000-00003C2E0000}"/>
    <cellStyle name="Normal 8 3 2 2" xfId="2607" xr:uid="{00000000-0005-0000-0000-00003D2E0000}"/>
    <cellStyle name="Normal 8 3 2 2 2" xfId="2608" xr:uid="{00000000-0005-0000-0000-00003E2E0000}"/>
    <cellStyle name="Normal 8 3 2 2 2 2" xfId="2609" xr:uid="{00000000-0005-0000-0000-00003F2E0000}"/>
    <cellStyle name="Normal 8 3 2 2 2 2 2" xfId="2610" xr:uid="{00000000-0005-0000-0000-0000402E0000}"/>
    <cellStyle name="Normal 8 3 2 2 2 2 2 2" xfId="2611" xr:uid="{00000000-0005-0000-0000-0000412E0000}"/>
    <cellStyle name="Normal 8 3 2 2 2 2 3" xfId="2612" xr:uid="{00000000-0005-0000-0000-0000422E0000}"/>
    <cellStyle name="Normal 8 3 2 2 2 3" xfId="2613" xr:uid="{00000000-0005-0000-0000-0000432E0000}"/>
    <cellStyle name="Normal 8 3 2 2 2 3 2" xfId="2614" xr:uid="{00000000-0005-0000-0000-0000442E0000}"/>
    <cellStyle name="Normal 8 3 2 2 2 4" xfId="2615" xr:uid="{00000000-0005-0000-0000-0000452E0000}"/>
    <cellStyle name="Normal 8 3 2 2 3" xfId="2616" xr:uid="{00000000-0005-0000-0000-0000462E0000}"/>
    <cellStyle name="Normal 8 3 2 2 3 2" xfId="2617" xr:uid="{00000000-0005-0000-0000-0000472E0000}"/>
    <cellStyle name="Normal 8 3 2 2 3 2 2" xfId="2618" xr:uid="{00000000-0005-0000-0000-0000482E0000}"/>
    <cellStyle name="Normal 8 3 2 2 3 3" xfId="2619" xr:uid="{00000000-0005-0000-0000-0000492E0000}"/>
    <cellStyle name="Normal 8 3 2 2 4" xfId="2620" xr:uid="{00000000-0005-0000-0000-00004A2E0000}"/>
    <cellStyle name="Normal 8 3 2 2 4 2" xfId="2621" xr:uid="{00000000-0005-0000-0000-00004B2E0000}"/>
    <cellStyle name="Normal 8 3 2 2 5" xfId="2622" xr:uid="{00000000-0005-0000-0000-00004C2E0000}"/>
    <cellStyle name="Normal 8 3 2 3" xfId="2623" xr:uid="{00000000-0005-0000-0000-00004D2E0000}"/>
    <cellStyle name="Normal 8 3 2 3 2" xfId="2624" xr:uid="{00000000-0005-0000-0000-00004E2E0000}"/>
    <cellStyle name="Normal 8 3 2 3 2 2" xfId="2625" xr:uid="{00000000-0005-0000-0000-00004F2E0000}"/>
    <cellStyle name="Normal 8 3 2 3 2 2 2" xfId="2626" xr:uid="{00000000-0005-0000-0000-0000502E0000}"/>
    <cellStyle name="Normal 8 3 2 3 2 3" xfId="2627" xr:uid="{00000000-0005-0000-0000-0000512E0000}"/>
    <cellStyle name="Normal 8 3 2 3 3" xfId="2628" xr:uid="{00000000-0005-0000-0000-0000522E0000}"/>
    <cellStyle name="Normal 8 3 2 3 3 2" xfId="2629" xr:uid="{00000000-0005-0000-0000-0000532E0000}"/>
    <cellStyle name="Normal 8 3 2 3 4" xfId="2630" xr:uid="{00000000-0005-0000-0000-0000542E0000}"/>
    <cellStyle name="Normal 8 3 2 4" xfId="2631" xr:uid="{00000000-0005-0000-0000-0000552E0000}"/>
    <cellStyle name="Normal 8 3 2 4 2" xfId="2632" xr:uid="{00000000-0005-0000-0000-0000562E0000}"/>
    <cellStyle name="Normal 8 3 2 4 2 2" xfId="2633" xr:uid="{00000000-0005-0000-0000-0000572E0000}"/>
    <cellStyle name="Normal 8 3 2 4 3" xfId="2634" xr:uid="{00000000-0005-0000-0000-0000582E0000}"/>
    <cellStyle name="Normal 8 3 2 5" xfId="2635" xr:uid="{00000000-0005-0000-0000-0000592E0000}"/>
    <cellStyle name="Normal 8 3 2 5 2" xfId="2636" xr:uid="{00000000-0005-0000-0000-00005A2E0000}"/>
    <cellStyle name="Normal 8 3 2 6" xfId="2637" xr:uid="{00000000-0005-0000-0000-00005B2E0000}"/>
    <cellStyle name="Normal 8 3 3" xfId="2638" xr:uid="{00000000-0005-0000-0000-00005C2E0000}"/>
    <cellStyle name="Normal 8 3 3 2" xfId="2639" xr:uid="{00000000-0005-0000-0000-00005D2E0000}"/>
    <cellStyle name="Normal 8 3 3 2 2" xfId="2640" xr:uid="{00000000-0005-0000-0000-00005E2E0000}"/>
    <cellStyle name="Normal 8 3 3 2 2 2" xfId="2641" xr:uid="{00000000-0005-0000-0000-00005F2E0000}"/>
    <cellStyle name="Normal 8 3 3 2 2 2 2" xfId="2642" xr:uid="{00000000-0005-0000-0000-0000602E0000}"/>
    <cellStyle name="Normal 8 3 3 2 2 3" xfId="2643" xr:uid="{00000000-0005-0000-0000-0000612E0000}"/>
    <cellStyle name="Normal 8 3 3 2 3" xfId="2644" xr:uid="{00000000-0005-0000-0000-0000622E0000}"/>
    <cellStyle name="Normal 8 3 3 2 3 2" xfId="2645" xr:uid="{00000000-0005-0000-0000-0000632E0000}"/>
    <cellStyle name="Normal 8 3 3 2 4" xfId="2646" xr:uid="{00000000-0005-0000-0000-0000642E0000}"/>
    <cellStyle name="Normal 8 3 3 3" xfId="2647" xr:uid="{00000000-0005-0000-0000-0000652E0000}"/>
    <cellStyle name="Normal 8 3 3 3 2" xfId="2648" xr:uid="{00000000-0005-0000-0000-0000662E0000}"/>
    <cellStyle name="Normal 8 3 3 3 2 2" xfId="2649" xr:uid="{00000000-0005-0000-0000-0000672E0000}"/>
    <cellStyle name="Normal 8 3 3 3 3" xfId="2650" xr:uid="{00000000-0005-0000-0000-0000682E0000}"/>
    <cellStyle name="Normal 8 3 3 4" xfId="2651" xr:uid="{00000000-0005-0000-0000-0000692E0000}"/>
    <cellStyle name="Normal 8 3 3 4 2" xfId="2652" xr:uid="{00000000-0005-0000-0000-00006A2E0000}"/>
    <cellStyle name="Normal 8 3 3 5" xfId="2653" xr:uid="{00000000-0005-0000-0000-00006B2E0000}"/>
    <cellStyle name="Normal 8 3 4" xfId="2654" xr:uid="{00000000-0005-0000-0000-00006C2E0000}"/>
    <cellStyle name="Normal 8 3 4 2" xfId="2655" xr:uid="{00000000-0005-0000-0000-00006D2E0000}"/>
    <cellStyle name="Normal 8 3 4 2 2" xfId="2656" xr:uid="{00000000-0005-0000-0000-00006E2E0000}"/>
    <cellStyle name="Normal 8 3 4 2 2 2" xfId="2657" xr:uid="{00000000-0005-0000-0000-00006F2E0000}"/>
    <cellStyle name="Normal 8 3 4 2 3" xfId="2658" xr:uid="{00000000-0005-0000-0000-0000702E0000}"/>
    <cellStyle name="Normal 8 3 4 3" xfId="2659" xr:uid="{00000000-0005-0000-0000-0000712E0000}"/>
    <cellStyle name="Normal 8 3 4 3 2" xfId="2660" xr:uid="{00000000-0005-0000-0000-0000722E0000}"/>
    <cellStyle name="Normal 8 3 4 4" xfId="2661" xr:uid="{00000000-0005-0000-0000-0000732E0000}"/>
    <cellStyle name="Normal 8 3 5" xfId="2662" xr:uid="{00000000-0005-0000-0000-0000742E0000}"/>
    <cellStyle name="Normal 8 3 5 2" xfId="2663" xr:uid="{00000000-0005-0000-0000-0000752E0000}"/>
    <cellStyle name="Normal 8 3 5 2 2" xfId="2664" xr:uid="{00000000-0005-0000-0000-0000762E0000}"/>
    <cellStyle name="Normal 8 3 5 3" xfId="2665" xr:uid="{00000000-0005-0000-0000-0000772E0000}"/>
    <cellStyle name="Normal 8 3 6" xfId="2666" xr:uid="{00000000-0005-0000-0000-0000782E0000}"/>
    <cellStyle name="Normal 8 3 6 2" xfId="2667" xr:uid="{00000000-0005-0000-0000-0000792E0000}"/>
    <cellStyle name="Normal 8 3 7" xfId="2668" xr:uid="{00000000-0005-0000-0000-00007A2E0000}"/>
    <cellStyle name="Normal 8 4" xfId="2669" xr:uid="{00000000-0005-0000-0000-00007B2E0000}"/>
    <cellStyle name="Normal 8 4 2" xfId="2670" xr:uid="{00000000-0005-0000-0000-00007C2E0000}"/>
    <cellStyle name="Normal 8 4 2 2" xfId="2671" xr:uid="{00000000-0005-0000-0000-00007D2E0000}"/>
    <cellStyle name="Normal 8 4 2 2 2" xfId="2672" xr:uid="{00000000-0005-0000-0000-00007E2E0000}"/>
    <cellStyle name="Normal 8 4 2 2 2 2" xfId="2673" xr:uid="{00000000-0005-0000-0000-00007F2E0000}"/>
    <cellStyle name="Normal 8 4 2 2 2 2 2" xfId="2674" xr:uid="{00000000-0005-0000-0000-0000802E0000}"/>
    <cellStyle name="Normal 8 4 2 2 2 3" xfId="2675" xr:uid="{00000000-0005-0000-0000-0000812E0000}"/>
    <cellStyle name="Normal 8 4 2 2 3" xfId="2676" xr:uid="{00000000-0005-0000-0000-0000822E0000}"/>
    <cellStyle name="Normal 8 4 2 2 3 2" xfId="2677" xr:uid="{00000000-0005-0000-0000-0000832E0000}"/>
    <cellStyle name="Normal 8 4 2 2 4" xfId="2678" xr:uid="{00000000-0005-0000-0000-0000842E0000}"/>
    <cellStyle name="Normal 8 4 2 3" xfId="2679" xr:uid="{00000000-0005-0000-0000-0000852E0000}"/>
    <cellStyle name="Normal 8 4 2 3 2" xfId="2680" xr:uid="{00000000-0005-0000-0000-0000862E0000}"/>
    <cellStyle name="Normal 8 4 2 3 2 2" xfId="2681" xr:uid="{00000000-0005-0000-0000-0000872E0000}"/>
    <cellStyle name="Normal 8 4 2 3 3" xfId="2682" xr:uid="{00000000-0005-0000-0000-0000882E0000}"/>
    <cellStyle name="Normal 8 4 2 4" xfId="2683" xr:uid="{00000000-0005-0000-0000-0000892E0000}"/>
    <cellStyle name="Normal 8 4 2 4 2" xfId="2684" xr:uid="{00000000-0005-0000-0000-00008A2E0000}"/>
    <cellStyle name="Normal 8 4 2 5" xfId="2685" xr:uid="{00000000-0005-0000-0000-00008B2E0000}"/>
    <cellStyle name="Normal 8 4 3" xfId="2686" xr:uid="{00000000-0005-0000-0000-00008C2E0000}"/>
    <cellStyle name="Normal 8 4 3 2" xfId="2687" xr:uid="{00000000-0005-0000-0000-00008D2E0000}"/>
    <cellStyle name="Normal 8 4 3 2 2" xfId="2688" xr:uid="{00000000-0005-0000-0000-00008E2E0000}"/>
    <cellStyle name="Normal 8 4 3 2 2 2" xfId="2689" xr:uid="{00000000-0005-0000-0000-00008F2E0000}"/>
    <cellStyle name="Normal 8 4 3 2 3" xfId="2690" xr:uid="{00000000-0005-0000-0000-0000902E0000}"/>
    <cellStyle name="Normal 8 4 3 3" xfId="2691" xr:uid="{00000000-0005-0000-0000-0000912E0000}"/>
    <cellStyle name="Normal 8 4 3 3 2" xfId="2692" xr:uid="{00000000-0005-0000-0000-0000922E0000}"/>
    <cellStyle name="Normal 8 4 3 4" xfId="2693" xr:uid="{00000000-0005-0000-0000-0000932E0000}"/>
    <cellStyle name="Normal 8 4 4" xfId="2694" xr:uid="{00000000-0005-0000-0000-0000942E0000}"/>
    <cellStyle name="Normal 8 4 4 2" xfId="2695" xr:uid="{00000000-0005-0000-0000-0000952E0000}"/>
    <cellStyle name="Normal 8 4 4 2 2" xfId="2696" xr:uid="{00000000-0005-0000-0000-0000962E0000}"/>
    <cellStyle name="Normal 8 4 4 3" xfId="2697" xr:uid="{00000000-0005-0000-0000-0000972E0000}"/>
    <cellStyle name="Normal 8 4 5" xfId="2698" xr:uid="{00000000-0005-0000-0000-0000982E0000}"/>
    <cellStyle name="Normal 8 4 5 2" xfId="2699" xr:uid="{00000000-0005-0000-0000-0000992E0000}"/>
    <cellStyle name="Normal 8 4 6" xfId="2700" xr:uid="{00000000-0005-0000-0000-00009A2E0000}"/>
    <cellStyle name="Normal 8 5" xfId="2701" xr:uid="{00000000-0005-0000-0000-00009B2E0000}"/>
    <cellStyle name="Normal 8 5 2" xfId="2702" xr:uid="{00000000-0005-0000-0000-00009C2E0000}"/>
    <cellStyle name="Normal 8 5 2 2" xfId="2703" xr:uid="{00000000-0005-0000-0000-00009D2E0000}"/>
    <cellStyle name="Normal 8 5 2 2 2" xfId="2704" xr:uid="{00000000-0005-0000-0000-00009E2E0000}"/>
    <cellStyle name="Normal 8 5 2 2 2 2" xfId="2705" xr:uid="{00000000-0005-0000-0000-00009F2E0000}"/>
    <cellStyle name="Normal 8 5 2 2 3" xfId="2706" xr:uid="{00000000-0005-0000-0000-0000A02E0000}"/>
    <cellStyle name="Normal 8 5 2 3" xfId="2707" xr:uid="{00000000-0005-0000-0000-0000A12E0000}"/>
    <cellStyle name="Normal 8 5 2 3 2" xfId="2708" xr:uid="{00000000-0005-0000-0000-0000A22E0000}"/>
    <cellStyle name="Normal 8 5 2 4" xfId="2709" xr:uid="{00000000-0005-0000-0000-0000A32E0000}"/>
    <cellStyle name="Normal 8 5 3" xfId="2710" xr:uid="{00000000-0005-0000-0000-0000A42E0000}"/>
    <cellStyle name="Normal 8 5 3 2" xfId="2711" xr:uid="{00000000-0005-0000-0000-0000A52E0000}"/>
    <cellStyle name="Normal 8 5 3 2 2" xfId="2712" xr:uid="{00000000-0005-0000-0000-0000A62E0000}"/>
    <cellStyle name="Normal 8 5 3 3" xfId="2713" xr:uid="{00000000-0005-0000-0000-0000A72E0000}"/>
    <cellStyle name="Normal 8 5 4" xfId="2714" xr:uid="{00000000-0005-0000-0000-0000A82E0000}"/>
    <cellStyle name="Normal 8 5 4 2" xfId="2715" xr:uid="{00000000-0005-0000-0000-0000A92E0000}"/>
    <cellStyle name="Normal 8 5 5" xfId="2716" xr:uid="{00000000-0005-0000-0000-0000AA2E0000}"/>
    <cellStyle name="Normal 8 6" xfId="2717" xr:uid="{00000000-0005-0000-0000-0000AB2E0000}"/>
    <cellStyle name="Normal 8 6 2" xfId="2718" xr:uid="{00000000-0005-0000-0000-0000AC2E0000}"/>
    <cellStyle name="Normal 8 6 2 2" xfId="2719" xr:uid="{00000000-0005-0000-0000-0000AD2E0000}"/>
    <cellStyle name="Normal 8 6 2 2 2" xfId="2720" xr:uid="{00000000-0005-0000-0000-0000AE2E0000}"/>
    <cellStyle name="Normal 8 6 2 3" xfId="2721" xr:uid="{00000000-0005-0000-0000-0000AF2E0000}"/>
    <cellStyle name="Normal 8 6 3" xfId="2722" xr:uid="{00000000-0005-0000-0000-0000B02E0000}"/>
    <cellStyle name="Normal 8 6 3 2" xfId="2723" xr:uid="{00000000-0005-0000-0000-0000B12E0000}"/>
    <cellStyle name="Normal 8 6 4" xfId="2724" xr:uid="{00000000-0005-0000-0000-0000B22E0000}"/>
    <cellStyle name="Normal 8 7" xfId="2725" xr:uid="{00000000-0005-0000-0000-0000B32E0000}"/>
    <cellStyle name="Normal 8 7 2" xfId="2726" xr:uid="{00000000-0005-0000-0000-0000B42E0000}"/>
    <cellStyle name="Normal 8 7 2 2" xfId="2727" xr:uid="{00000000-0005-0000-0000-0000B52E0000}"/>
    <cellStyle name="Normal 8 7 3" xfId="2728" xr:uid="{00000000-0005-0000-0000-0000B62E0000}"/>
    <cellStyle name="Normal 8 8" xfId="2729" xr:uid="{00000000-0005-0000-0000-0000B72E0000}"/>
    <cellStyle name="Normal 8 8 2" xfId="2730" xr:uid="{00000000-0005-0000-0000-0000B82E0000}"/>
    <cellStyle name="Normal 8 9" xfId="2731" xr:uid="{00000000-0005-0000-0000-0000B92E0000}"/>
    <cellStyle name="Normal 8_COST OF SERVICE" xfId="12296" xr:uid="{00000000-0005-0000-0000-0000BA2E0000}"/>
    <cellStyle name="Normal 80" xfId="12297" xr:uid="{00000000-0005-0000-0000-0000BB2E0000}"/>
    <cellStyle name="Normal 81" xfId="12298" xr:uid="{00000000-0005-0000-0000-0000BC2E0000}"/>
    <cellStyle name="Normal 82" xfId="12299" xr:uid="{00000000-0005-0000-0000-0000BD2E0000}"/>
    <cellStyle name="Normal 83" xfId="12300" xr:uid="{00000000-0005-0000-0000-0000BE2E0000}"/>
    <cellStyle name="Normal 84" xfId="12301" xr:uid="{00000000-0005-0000-0000-0000BF2E0000}"/>
    <cellStyle name="Normal 85" xfId="12302" xr:uid="{00000000-0005-0000-0000-0000C02E0000}"/>
    <cellStyle name="Normal 86" xfId="12303" xr:uid="{00000000-0005-0000-0000-0000C12E0000}"/>
    <cellStyle name="Normal 87" xfId="12304" xr:uid="{00000000-0005-0000-0000-0000C22E0000}"/>
    <cellStyle name="Normal 88" xfId="12305" xr:uid="{00000000-0005-0000-0000-0000C32E0000}"/>
    <cellStyle name="Normal 89" xfId="12306" xr:uid="{00000000-0005-0000-0000-0000C42E0000}"/>
    <cellStyle name="Normal 9" xfId="58" xr:uid="{00000000-0005-0000-0000-0000C52E0000}"/>
    <cellStyle name="Normal 9 10" xfId="12307" xr:uid="{00000000-0005-0000-0000-0000C62E0000}"/>
    <cellStyle name="Normal 9 11" xfId="12308" xr:uid="{00000000-0005-0000-0000-0000C72E0000}"/>
    <cellStyle name="Normal 9 12" xfId="12309" xr:uid="{00000000-0005-0000-0000-0000C82E0000}"/>
    <cellStyle name="Normal 9 13" xfId="12310" xr:uid="{00000000-0005-0000-0000-0000C92E0000}"/>
    <cellStyle name="Normal 9 14" xfId="12311" xr:uid="{00000000-0005-0000-0000-0000CA2E0000}"/>
    <cellStyle name="Normal 9 15" xfId="12312" xr:uid="{00000000-0005-0000-0000-0000CB2E0000}"/>
    <cellStyle name="Normal 9 2" xfId="2732" xr:uid="{00000000-0005-0000-0000-0000CC2E0000}"/>
    <cellStyle name="Normal 9 2 2" xfId="2733" xr:uid="{00000000-0005-0000-0000-0000CD2E0000}"/>
    <cellStyle name="Normal 9 2 2 2" xfId="2734" xr:uid="{00000000-0005-0000-0000-0000CE2E0000}"/>
    <cellStyle name="Normal 9 2 2 2 2" xfId="2735" xr:uid="{00000000-0005-0000-0000-0000CF2E0000}"/>
    <cellStyle name="Normal 9 2 2 2 2 2" xfId="2736" xr:uid="{00000000-0005-0000-0000-0000D02E0000}"/>
    <cellStyle name="Normal 9 2 2 2 2 2 2" xfId="2737" xr:uid="{00000000-0005-0000-0000-0000D12E0000}"/>
    <cellStyle name="Normal 9 2 2 2 2 2 2 2" xfId="2738" xr:uid="{00000000-0005-0000-0000-0000D22E0000}"/>
    <cellStyle name="Normal 9 2 2 2 2 2 2 2 2" xfId="2739" xr:uid="{00000000-0005-0000-0000-0000D32E0000}"/>
    <cellStyle name="Normal 9 2 2 2 2 2 2 3" xfId="2740" xr:uid="{00000000-0005-0000-0000-0000D42E0000}"/>
    <cellStyle name="Normal 9 2 2 2 2 2 3" xfId="2741" xr:uid="{00000000-0005-0000-0000-0000D52E0000}"/>
    <cellStyle name="Normal 9 2 2 2 2 2 3 2" xfId="2742" xr:uid="{00000000-0005-0000-0000-0000D62E0000}"/>
    <cellStyle name="Normal 9 2 2 2 2 2 4" xfId="2743" xr:uid="{00000000-0005-0000-0000-0000D72E0000}"/>
    <cellStyle name="Normal 9 2 2 2 2 3" xfId="2744" xr:uid="{00000000-0005-0000-0000-0000D82E0000}"/>
    <cellStyle name="Normal 9 2 2 2 2 3 2" xfId="2745" xr:uid="{00000000-0005-0000-0000-0000D92E0000}"/>
    <cellStyle name="Normal 9 2 2 2 2 3 2 2" xfId="2746" xr:uid="{00000000-0005-0000-0000-0000DA2E0000}"/>
    <cellStyle name="Normal 9 2 2 2 2 3 3" xfId="2747" xr:uid="{00000000-0005-0000-0000-0000DB2E0000}"/>
    <cellStyle name="Normal 9 2 2 2 2 4" xfId="2748" xr:uid="{00000000-0005-0000-0000-0000DC2E0000}"/>
    <cellStyle name="Normal 9 2 2 2 2 4 2" xfId="2749" xr:uid="{00000000-0005-0000-0000-0000DD2E0000}"/>
    <cellStyle name="Normal 9 2 2 2 2 5" xfId="2750" xr:uid="{00000000-0005-0000-0000-0000DE2E0000}"/>
    <cellStyle name="Normal 9 2 2 2 3" xfId="2751" xr:uid="{00000000-0005-0000-0000-0000DF2E0000}"/>
    <cellStyle name="Normal 9 2 2 2 3 2" xfId="2752" xr:uid="{00000000-0005-0000-0000-0000E02E0000}"/>
    <cellStyle name="Normal 9 2 2 2 3 2 2" xfId="2753" xr:uid="{00000000-0005-0000-0000-0000E12E0000}"/>
    <cellStyle name="Normal 9 2 2 2 3 2 2 2" xfId="2754" xr:uid="{00000000-0005-0000-0000-0000E22E0000}"/>
    <cellStyle name="Normal 9 2 2 2 3 2 3" xfId="2755" xr:uid="{00000000-0005-0000-0000-0000E32E0000}"/>
    <cellStyle name="Normal 9 2 2 2 3 3" xfId="2756" xr:uid="{00000000-0005-0000-0000-0000E42E0000}"/>
    <cellStyle name="Normal 9 2 2 2 3 3 2" xfId="2757" xr:uid="{00000000-0005-0000-0000-0000E52E0000}"/>
    <cellStyle name="Normal 9 2 2 2 3 4" xfId="2758" xr:uid="{00000000-0005-0000-0000-0000E62E0000}"/>
    <cellStyle name="Normal 9 2 2 2 4" xfId="2759" xr:uid="{00000000-0005-0000-0000-0000E72E0000}"/>
    <cellStyle name="Normal 9 2 2 2 4 2" xfId="2760" xr:uid="{00000000-0005-0000-0000-0000E82E0000}"/>
    <cellStyle name="Normal 9 2 2 2 4 2 2" xfId="2761" xr:uid="{00000000-0005-0000-0000-0000E92E0000}"/>
    <cellStyle name="Normal 9 2 2 2 4 3" xfId="2762" xr:uid="{00000000-0005-0000-0000-0000EA2E0000}"/>
    <cellStyle name="Normal 9 2 2 2 5" xfId="2763" xr:uid="{00000000-0005-0000-0000-0000EB2E0000}"/>
    <cellStyle name="Normal 9 2 2 2 5 2" xfId="2764" xr:uid="{00000000-0005-0000-0000-0000EC2E0000}"/>
    <cellStyle name="Normal 9 2 2 2 6" xfId="2765" xr:uid="{00000000-0005-0000-0000-0000ED2E0000}"/>
    <cellStyle name="Normal 9 2 2 3" xfId="2766" xr:uid="{00000000-0005-0000-0000-0000EE2E0000}"/>
    <cellStyle name="Normal 9 2 2 3 2" xfId="2767" xr:uid="{00000000-0005-0000-0000-0000EF2E0000}"/>
    <cellStyle name="Normal 9 2 2 3 2 2" xfId="2768" xr:uid="{00000000-0005-0000-0000-0000F02E0000}"/>
    <cellStyle name="Normal 9 2 2 3 2 2 2" xfId="2769" xr:uid="{00000000-0005-0000-0000-0000F12E0000}"/>
    <cellStyle name="Normal 9 2 2 3 2 2 2 2" xfId="2770" xr:uid="{00000000-0005-0000-0000-0000F22E0000}"/>
    <cellStyle name="Normal 9 2 2 3 2 2 3" xfId="2771" xr:uid="{00000000-0005-0000-0000-0000F32E0000}"/>
    <cellStyle name="Normal 9 2 2 3 2 3" xfId="2772" xr:uid="{00000000-0005-0000-0000-0000F42E0000}"/>
    <cellStyle name="Normal 9 2 2 3 2 3 2" xfId="2773" xr:uid="{00000000-0005-0000-0000-0000F52E0000}"/>
    <cellStyle name="Normal 9 2 2 3 2 4" xfId="2774" xr:uid="{00000000-0005-0000-0000-0000F62E0000}"/>
    <cellStyle name="Normal 9 2 2 3 3" xfId="2775" xr:uid="{00000000-0005-0000-0000-0000F72E0000}"/>
    <cellStyle name="Normal 9 2 2 3 3 2" xfId="2776" xr:uid="{00000000-0005-0000-0000-0000F82E0000}"/>
    <cellStyle name="Normal 9 2 2 3 3 2 2" xfId="2777" xr:uid="{00000000-0005-0000-0000-0000F92E0000}"/>
    <cellStyle name="Normal 9 2 2 3 3 3" xfId="2778" xr:uid="{00000000-0005-0000-0000-0000FA2E0000}"/>
    <cellStyle name="Normal 9 2 2 3 4" xfId="2779" xr:uid="{00000000-0005-0000-0000-0000FB2E0000}"/>
    <cellStyle name="Normal 9 2 2 3 4 2" xfId="2780" xr:uid="{00000000-0005-0000-0000-0000FC2E0000}"/>
    <cellStyle name="Normal 9 2 2 3 5" xfId="2781" xr:uid="{00000000-0005-0000-0000-0000FD2E0000}"/>
    <cellStyle name="Normal 9 2 2 4" xfId="2782" xr:uid="{00000000-0005-0000-0000-0000FE2E0000}"/>
    <cellStyle name="Normal 9 2 2 4 2" xfId="2783" xr:uid="{00000000-0005-0000-0000-0000FF2E0000}"/>
    <cellStyle name="Normal 9 2 2 4 2 2" xfId="2784" xr:uid="{00000000-0005-0000-0000-0000002F0000}"/>
    <cellStyle name="Normal 9 2 2 4 2 2 2" xfId="2785" xr:uid="{00000000-0005-0000-0000-0000012F0000}"/>
    <cellStyle name="Normal 9 2 2 4 2 3" xfId="2786" xr:uid="{00000000-0005-0000-0000-0000022F0000}"/>
    <cellStyle name="Normal 9 2 2 4 3" xfId="2787" xr:uid="{00000000-0005-0000-0000-0000032F0000}"/>
    <cellStyle name="Normal 9 2 2 4 3 2" xfId="2788" xr:uid="{00000000-0005-0000-0000-0000042F0000}"/>
    <cellStyle name="Normal 9 2 2 4 4" xfId="2789" xr:uid="{00000000-0005-0000-0000-0000052F0000}"/>
    <cellStyle name="Normal 9 2 2 5" xfId="2790" xr:uid="{00000000-0005-0000-0000-0000062F0000}"/>
    <cellStyle name="Normal 9 2 2 5 2" xfId="2791" xr:uid="{00000000-0005-0000-0000-0000072F0000}"/>
    <cellStyle name="Normal 9 2 2 5 2 2" xfId="2792" xr:uid="{00000000-0005-0000-0000-0000082F0000}"/>
    <cellStyle name="Normal 9 2 2 5 3" xfId="2793" xr:uid="{00000000-0005-0000-0000-0000092F0000}"/>
    <cellStyle name="Normal 9 2 2 6" xfId="2794" xr:uid="{00000000-0005-0000-0000-00000A2F0000}"/>
    <cellStyle name="Normal 9 2 2 6 2" xfId="2795" xr:uid="{00000000-0005-0000-0000-00000B2F0000}"/>
    <cellStyle name="Normal 9 2 2 7" xfId="2796" xr:uid="{00000000-0005-0000-0000-00000C2F0000}"/>
    <cellStyle name="Normal 9 2 3" xfId="2797" xr:uid="{00000000-0005-0000-0000-00000D2F0000}"/>
    <cellStyle name="Normal 9 2 3 2" xfId="2798" xr:uid="{00000000-0005-0000-0000-00000E2F0000}"/>
    <cellStyle name="Normal 9 2 3 2 2" xfId="2799" xr:uid="{00000000-0005-0000-0000-00000F2F0000}"/>
    <cellStyle name="Normal 9 2 3 2 2 2" xfId="2800" xr:uid="{00000000-0005-0000-0000-0000102F0000}"/>
    <cellStyle name="Normal 9 2 3 2 2 2 2" xfId="2801" xr:uid="{00000000-0005-0000-0000-0000112F0000}"/>
    <cellStyle name="Normal 9 2 3 2 2 2 2 2" xfId="2802" xr:uid="{00000000-0005-0000-0000-0000122F0000}"/>
    <cellStyle name="Normal 9 2 3 2 2 2 3" xfId="2803" xr:uid="{00000000-0005-0000-0000-0000132F0000}"/>
    <cellStyle name="Normal 9 2 3 2 2 3" xfId="2804" xr:uid="{00000000-0005-0000-0000-0000142F0000}"/>
    <cellStyle name="Normal 9 2 3 2 2 3 2" xfId="2805" xr:uid="{00000000-0005-0000-0000-0000152F0000}"/>
    <cellStyle name="Normal 9 2 3 2 2 4" xfId="2806" xr:uid="{00000000-0005-0000-0000-0000162F0000}"/>
    <cellStyle name="Normal 9 2 3 2 3" xfId="2807" xr:uid="{00000000-0005-0000-0000-0000172F0000}"/>
    <cellStyle name="Normal 9 2 3 2 3 2" xfId="2808" xr:uid="{00000000-0005-0000-0000-0000182F0000}"/>
    <cellStyle name="Normal 9 2 3 2 3 2 2" xfId="2809" xr:uid="{00000000-0005-0000-0000-0000192F0000}"/>
    <cellStyle name="Normal 9 2 3 2 3 3" xfId="2810" xr:uid="{00000000-0005-0000-0000-00001A2F0000}"/>
    <cellStyle name="Normal 9 2 3 2 4" xfId="2811" xr:uid="{00000000-0005-0000-0000-00001B2F0000}"/>
    <cellStyle name="Normal 9 2 3 2 4 2" xfId="2812" xr:uid="{00000000-0005-0000-0000-00001C2F0000}"/>
    <cellStyle name="Normal 9 2 3 2 5" xfId="2813" xr:uid="{00000000-0005-0000-0000-00001D2F0000}"/>
    <cellStyle name="Normal 9 2 3 3" xfId="2814" xr:uid="{00000000-0005-0000-0000-00001E2F0000}"/>
    <cellStyle name="Normal 9 2 3 3 2" xfId="2815" xr:uid="{00000000-0005-0000-0000-00001F2F0000}"/>
    <cellStyle name="Normal 9 2 3 3 2 2" xfId="2816" xr:uid="{00000000-0005-0000-0000-0000202F0000}"/>
    <cellStyle name="Normal 9 2 3 3 2 2 2" xfId="2817" xr:uid="{00000000-0005-0000-0000-0000212F0000}"/>
    <cellStyle name="Normal 9 2 3 3 2 3" xfId="2818" xr:uid="{00000000-0005-0000-0000-0000222F0000}"/>
    <cellStyle name="Normal 9 2 3 3 3" xfId="2819" xr:uid="{00000000-0005-0000-0000-0000232F0000}"/>
    <cellStyle name="Normal 9 2 3 3 3 2" xfId="2820" xr:uid="{00000000-0005-0000-0000-0000242F0000}"/>
    <cellStyle name="Normal 9 2 3 3 4" xfId="2821" xr:uid="{00000000-0005-0000-0000-0000252F0000}"/>
    <cellStyle name="Normal 9 2 3 4" xfId="2822" xr:uid="{00000000-0005-0000-0000-0000262F0000}"/>
    <cellStyle name="Normal 9 2 3 4 2" xfId="2823" xr:uid="{00000000-0005-0000-0000-0000272F0000}"/>
    <cellStyle name="Normal 9 2 3 4 2 2" xfId="2824" xr:uid="{00000000-0005-0000-0000-0000282F0000}"/>
    <cellStyle name="Normal 9 2 3 4 3" xfId="2825" xr:uid="{00000000-0005-0000-0000-0000292F0000}"/>
    <cellStyle name="Normal 9 2 3 5" xfId="2826" xr:uid="{00000000-0005-0000-0000-00002A2F0000}"/>
    <cellStyle name="Normal 9 2 3 5 2" xfId="2827" xr:uid="{00000000-0005-0000-0000-00002B2F0000}"/>
    <cellStyle name="Normal 9 2 3 6" xfId="2828" xr:uid="{00000000-0005-0000-0000-00002C2F0000}"/>
    <cellStyle name="Normal 9 2 4" xfId="2829" xr:uid="{00000000-0005-0000-0000-00002D2F0000}"/>
    <cellStyle name="Normal 9 2 4 2" xfId="2830" xr:uid="{00000000-0005-0000-0000-00002E2F0000}"/>
    <cellStyle name="Normal 9 2 4 2 2" xfId="2831" xr:uid="{00000000-0005-0000-0000-00002F2F0000}"/>
    <cellStyle name="Normal 9 2 4 2 2 2" xfId="2832" xr:uid="{00000000-0005-0000-0000-0000302F0000}"/>
    <cellStyle name="Normal 9 2 4 2 2 2 2" xfId="2833" xr:uid="{00000000-0005-0000-0000-0000312F0000}"/>
    <cellStyle name="Normal 9 2 4 2 2 3" xfId="2834" xr:uid="{00000000-0005-0000-0000-0000322F0000}"/>
    <cellStyle name="Normal 9 2 4 2 3" xfId="2835" xr:uid="{00000000-0005-0000-0000-0000332F0000}"/>
    <cellStyle name="Normal 9 2 4 2 3 2" xfId="2836" xr:uid="{00000000-0005-0000-0000-0000342F0000}"/>
    <cellStyle name="Normal 9 2 4 2 4" xfId="2837" xr:uid="{00000000-0005-0000-0000-0000352F0000}"/>
    <cellStyle name="Normal 9 2 4 3" xfId="2838" xr:uid="{00000000-0005-0000-0000-0000362F0000}"/>
    <cellStyle name="Normal 9 2 4 3 2" xfId="2839" xr:uid="{00000000-0005-0000-0000-0000372F0000}"/>
    <cellStyle name="Normal 9 2 4 3 2 2" xfId="2840" xr:uid="{00000000-0005-0000-0000-0000382F0000}"/>
    <cellStyle name="Normal 9 2 4 3 3" xfId="2841" xr:uid="{00000000-0005-0000-0000-0000392F0000}"/>
    <cellStyle name="Normal 9 2 4 4" xfId="2842" xr:uid="{00000000-0005-0000-0000-00003A2F0000}"/>
    <cellStyle name="Normal 9 2 4 4 2" xfId="2843" xr:uid="{00000000-0005-0000-0000-00003B2F0000}"/>
    <cellStyle name="Normal 9 2 4 5" xfId="2844" xr:uid="{00000000-0005-0000-0000-00003C2F0000}"/>
    <cellStyle name="Normal 9 2 5" xfId="2845" xr:uid="{00000000-0005-0000-0000-00003D2F0000}"/>
    <cellStyle name="Normal 9 2 5 2" xfId="2846" xr:uid="{00000000-0005-0000-0000-00003E2F0000}"/>
    <cellStyle name="Normal 9 2 5 2 2" xfId="2847" xr:uid="{00000000-0005-0000-0000-00003F2F0000}"/>
    <cellStyle name="Normal 9 2 5 2 2 2" xfId="2848" xr:uid="{00000000-0005-0000-0000-0000402F0000}"/>
    <cellStyle name="Normal 9 2 5 2 3" xfId="2849" xr:uid="{00000000-0005-0000-0000-0000412F0000}"/>
    <cellStyle name="Normal 9 2 5 3" xfId="2850" xr:uid="{00000000-0005-0000-0000-0000422F0000}"/>
    <cellStyle name="Normal 9 2 5 3 2" xfId="2851" xr:uid="{00000000-0005-0000-0000-0000432F0000}"/>
    <cellStyle name="Normal 9 2 5 4" xfId="2852" xr:uid="{00000000-0005-0000-0000-0000442F0000}"/>
    <cellStyle name="Normal 9 2 6" xfId="2853" xr:uid="{00000000-0005-0000-0000-0000452F0000}"/>
    <cellStyle name="Normal 9 2 6 2" xfId="2854" xr:uid="{00000000-0005-0000-0000-0000462F0000}"/>
    <cellStyle name="Normal 9 2 6 2 2" xfId="2855" xr:uid="{00000000-0005-0000-0000-0000472F0000}"/>
    <cellStyle name="Normal 9 2 6 3" xfId="2856" xr:uid="{00000000-0005-0000-0000-0000482F0000}"/>
    <cellStyle name="Normal 9 2 7" xfId="2857" xr:uid="{00000000-0005-0000-0000-0000492F0000}"/>
    <cellStyle name="Normal 9 2 7 2" xfId="2858" xr:uid="{00000000-0005-0000-0000-00004A2F0000}"/>
    <cellStyle name="Normal 9 2 8" xfId="2859" xr:uid="{00000000-0005-0000-0000-00004B2F0000}"/>
    <cellStyle name="Normal 9 3" xfId="2860" xr:uid="{00000000-0005-0000-0000-00004C2F0000}"/>
    <cellStyle name="Normal 9 3 10" xfId="12313" xr:uid="{00000000-0005-0000-0000-00004D2F0000}"/>
    <cellStyle name="Normal 9 3 11" xfId="12314" xr:uid="{00000000-0005-0000-0000-00004E2F0000}"/>
    <cellStyle name="Normal 9 3 12" xfId="12315" xr:uid="{00000000-0005-0000-0000-00004F2F0000}"/>
    <cellStyle name="Normal 9 3 13" xfId="12316" xr:uid="{00000000-0005-0000-0000-0000502F0000}"/>
    <cellStyle name="Normal 9 3 2" xfId="2861" xr:uid="{00000000-0005-0000-0000-0000512F0000}"/>
    <cellStyle name="Normal 9 3 2 10" xfId="12317" xr:uid="{00000000-0005-0000-0000-0000522F0000}"/>
    <cellStyle name="Normal 9 3 2 11" xfId="12318" xr:uid="{00000000-0005-0000-0000-0000532F0000}"/>
    <cellStyle name="Normal 9 3 2 12" xfId="12319" xr:uid="{00000000-0005-0000-0000-0000542F0000}"/>
    <cellStyle name="Normal 9 3 2 2" xfId="2862" xr:uid="{00000000-0005-0000-0000-0000552F0000}"/>
    <cellStyle name="Normal 9 3 2 2 2" xfId="2863" xr:uid="{00000000-0005-0000-0000-0000562F0000}"/>
    <cellStyle name="Normal 9 3 2 2 2 2" xfId="2864" xr:uid="{00000000-0005-0000-0000-0000572F0000}"/>
    <cellStyle name="Normal 9 3 2 2 2 2 2" xfId="2865" xr:uid="{00000000-0005-0000-0000-0000582F0000}"/>
    <cellStyle name="Normal 9 3 2 2 2 2 2 2" xfId="2866" xr:uid="{00000000-0005-0000-0000-0000592F0000}"/>
    <cellStyle name="Normal 9 3 2 2 2 2 3" xfId="2867" xr:uid="{00000000-0005-0000-0000-00005A2F0000}"/>
    <cellStyle name="Normal 9 3 2 2 2 3" xfId="2868" xr:uid="{00000000-0005-0000-0000-00005B2F0000}"/>
    <cellStyle name="Normal 9 3 2 2 2 3 2" xfId="2869" xr:uid="{00000000-0005-0000-0000-00005C2F0000}"/>
    <cellStyle name="Normal 9 3 2 2 2 4" xfId="2870" xr:uid="{00000000-0005-0000-0000-00005D2F0000}"/>
    <cellStyle name="Normal 9 3 2 2 3" xfId="2871" xr:uid="{00000000-0005-0000-0000-00005E2F0000}"/>
    <cellStyle name="Normal 9 3 2 2 3 2" xfId="2872" xr:uid="{00000000-0005-0000-0000-00005F2F0000}"/>
    <cellStyle name="Normal 9 3 2 2 3 2 2" xfId="2873" xr:uid="{00000000-0005-0000-0000-0000602F0000}"/>
    <cellStyle name="Normal 9 3 2 2 3 3" xfId="2874" xr:uid="{00000000-0005-0000-0000-0000612F0000}"/>
    <cellStyle name="Normal 9 3 2 2 4" xfId="2875" xr:uid="{00000000-0005-0000-0000-0000622F0000}"/>
    <cellStyle name="Normal 9 3 2 2 4 2" xfId="2876" xr:uid="{00000000-0005-0000-0000-0000632F0000}"/>
    <cellStyle name="Normal 9 3 2 2 5" xfId="2877" xr:uid="{00000000-0005-0000-0000-0000642F0000}"/>
    <cellStyle name="Normal 9 3 2 2 6" xfId="12320" xr:uid="{00000000-0005-0000-0000-0000652F0000}"/>
    <cellStyle name="Normal 9 3 2 2 7" xfId="12321" xr:uid="{00000000-0005-0000-0000-0000662F0000}"/>
    <cellStyle name="Normal 9 3 2 2 8" xfId="12322" xr:uid="{00000000-0005-0000-0000-0000672F0000}"/>
    <cellStyle name="Normal 9 3 2 2 9" xfId="12323" xr:uid="{00000000-0005-0000-0000-0000682F0000}"/>
    <cellStyle name="Normal 9 3 2 3" xfId="2878" xr:uid="{00000000-0005-0000-0000-0000692F0000}"/>
    <cellStyle name="Normal 9 3 2 3 2" xfId="2879" xr:uid="{00000000-0005-0000-0000-00006A2F0000}"/>
    <cellStyle name="Normal 9 3 2 3 2 2" xfId="2880" xr:uid="{00000000-0005-0000-0000-00006B2F0000}"/>
    <cellStyle name="Normal 9 3 2 3 2 2 2" xfId="2881" xr:uid="{00000000-0005-0000-0000-00006C2F0000}"/>
    <cellStyle name="Normal 9 3 2 3 2 3" xfId="2882" xr:uid="{00000000-0005-0000-0000-00006D2F0000}"/>
    <cellStyle name="Normal 9 3 2 3 3" xfId="2883" xr:uid="{00000000-0005-0000-0000-00006E2F0000}"/>
    <cellStyle name="Normal 9 3 2 3 3 2" xfId="2884" xr:uid="{00000000-0005-0000-0000-00006F2F0000}"/>
    <cellStyle name="Normal 9 3 2 3 4" xfId="2885" xr:uid="{00000000-0005-0000-0000-0000702F0000}"/>
    <cellStyle name="Normal 9 3 2 3 5" xfId="12324" xr:uid="{00000000-0005-0000-0000-0000712F0000}"/>
    <cellStyle name="Normal 9 3 2 4" xfId="2886" xr:uid="{00000000-0005-0000-0000-0000722F0000}"/>
    <cellStyle name="Normal 9 3 2 4 2" xfId="2887" xr:uid="{00000000-0005-0000-0000-0000732F0000}"/>
    <cellStyle name="Normal 9 3 2 4 2 2" xfId="2888" xr:uid="{00000000-0005-0000-0000-0000742F0000}"/>
    <cellStyle name="Normal 9 3 2 4 3" xfId="2889" xr:uid="{00000000-0005-0000-0000-0000752F0000}"/>
    <cellStyle name="Normal 9 3 2 5" xfId="2890" xr:uid="{00000000-0005-0000-0000-0000762F0000}"/>
    <cellStyle name="Normal 9 3 2 5 2" xfId="2891" xr:uid="{00000000-0005-0000-0000-0000772F0000}"/>
    <cellStyle name="Normal 9 3 2 6" xfId="2892" xr:uid="{00000000-0005-0000-0000-0000782F0000}"/>
    <cellStyle name="Normal 9 3 2 6 2" xfId="12325" xr:uid="{00000000-0005-0000-0000-0000792F0000}"/>
    <cellStyle name="Normal 9 3 2 7" xfId="12326" xr:uid="{00000000-0005-0000-0000-00007A2F0000}"/>
    <cellStyle name="Normal 9 3 2 8" xfId="12327" xr:uid="{00000000-0005-0000-0000-00007B2F0000}"/>
    <cellStyle name="Normal 9 3 2 9" xfId="12328" xr:uid="{00000000-0005-0000-0000-00007C2F0000}"/>
    <cellStyle name="Normal 9 3 3" xfId="2893" xr:uid="{00000000-0005-0000-0000-00007D2F0000}"/>
    <cellStyle name="Normal 9 3 3 2" xfId="2894" xr:uid="{00000000-0005-0000-0000-00007E2F0000}"/>
    <cellStyle name="Normal 9 3 3 2 2" xfId="2895" xr:uid="{00000000-0005-0000-0000-00007F2F0000}"/>
    <cellStyle name="Normal 9 3 3 2 2 2" xfId="2896" xr:uid="{00000000-0005-0000-0000-0000802F0000}"/>
    <cellStyle name="Normal 9 3 3 2 2 2 2" xfId="2897" xr:uid="{00000000-0005-0000-0000-0000812F0000}"/>
    <cellStyle name="Normal 9 3 3 2 2 3" xfId="2898" xr:uid="{00000000-0005-0000-0000-0000822F0000}"/>
    <cellStyle name="Normal 9 3 3 2 3" xfId="2899" xr:uid="{00000000-0005-0000-0000-0000832F0000}"/>
    <cellStyle name="Normal 9 3 3 2 3 2" xfId="2900" xr:uid="{00000000-0005-0000-0000-0000842F0000}"/>
    <cellStyle name="Normal 9 3 3 2 4" xfId="2901" xr:uid="{00000000-0005-0000-0000-0000852F0000}"/>
    <cellStyle name="Normal 9 3 3 3" xfId="2902" xr:uid="{00000000-0005-0000-0000-0000862F0000}"/>
    <cellStyle name="Normal 9 3 3 3 2" xfId="2903" xr:uid="{00000000-0005-0000-0000-0000872F0000}"/>
    <cellStyle name="Normal 9 3 3 3 2 2" xfId="2904" xr:uid="{00000000-0005-0000-0000-0000882F0000}"/>
    <cellStyle name="Normal 9 3 3 3 3" xfId="2905" xr:uid="{00000000-0005-0000-0000-0000892F0000}"/>
    <cellStyle name="Normal 9 3 3 4" xfId="2906" xr:uid="{00000000-0005-0000-0000-00008A2F0000}"/>
    <cellStyle name="Normal 9 3 3 4 2" xfId="2907" xr:uid="{00000000-0005-0000-0000-00008B2F0000}"/>
    <cellStyle name="Normal 9 3 3 5" xfId="2908" xr:uid="{00000000-0005-0000-0000-00008C2F0000}"/>
    <cellStyle name="Normal 9 3 3 6" xfId="12329" xr:uid="{00000000-0005-0000-0000-00008D2F0000}"/>
    <cellStyle name="Normal 9 3 3 7" xfId="12330" xr:uid="{00000000-0005-0000-0000-00008E2F0000}"/>
    <cellStyle name="Normal 9 3 3 8" xfId="12331" xr:uid="{00000000-0005-0000-0000-00008F2F0000}"/>
    <cellStyle name="Normal 9 3 3 9" xfId="12332" xr:uid="{00000000-0005-0000-0000-0000902F0000}"/>
    <cellStyle name="Normal 9 3 4" xfId="2909" xr:uid="{00000000-0005-0000-0000-0000912F0000}"/>
    <cellStyle name="Normal 9 3 4 2" xfId="2910" xr:uid="{00000000-0005-0000-0000-0000922F0000}"/>
    <cellStyle name="Normal 9 3 4 2 2" xfId="2911" xr:uid="{00000000-0005-0000-0000-0000932F0000}"/>
    <cellStyle name="Normal 9 3 4 2 2 2" xfId="2912" xr:uid="{00000000-0005-0000-0000-0000942F0000}"/>
    <cellStyle name="Normal 9 3 4 2 3" xfId="2913" xr:uid="{00000000-0005-0000-0000-0000952F0000}"/>
    <cellStyle name="Normal 9 3 4 3" xfId="2914" xr:uid="{00000000-0005-0000-0000-0000962F0000}"/>
    <cellStyle name="Normal 9 3 4 3 2" xfId="2915" xr:uid="{00000000-0005-0000-0000-0000972F0000}"/>
    <cellStyle name="Normal 9 3 4 4" xfId="2916" xr:uid="{00000000-0005-0000-0000-0000982F0000}"/>
    <cellStyle name="Normal 9 3 4 5" xfId="12333" xr:uid="{00000000-0005-0000-0000-0000992F0000}"/>
    <cellStyle name="Normal 9 3 5" xfId="2917" xr:uid="{00000000-0005-0000-0000-00009A2F0000}"/>
    <cellStyle name="Normal 9 3 5 2" xfId="2918" xr:uid="{00000000-0005-0000-0000-00009B2F0000}"/>
    <cellStyle name="Normal 9 3 5 2 2" xfId="2919" xr:uid="{00000000-0005-0000-0000-00009C2F0000}"/>
    <cellStyle name="Normal 9 3 5 3" xfId="2920" xr:uid="{00000000-0005-0000-0000-00009D2F0000}"/>
    <cellStyle name="Normal 9 3 6" xfId="2921" xr:uid="{00000000-0005-0000-0000-00009E2F0000}"/>
    <cellStyle name="Normal 9 3 6 2" xfId="2922" xr:uid="{00000000-0005-0000-0000-00009F2F0000}"/>
    <cellStyle name="Normal 9 3 7" xfId="2923" xr:uid="{00000000-0005-0000-0000-0000A02F0000}"/>
    <cellStyle name="Normal 9 3 7 2" xfId="12334" xr:uid="{00000000-0005-0000-0000-0000A12F0000}"/>
    <cellStyle name="Normal 9 3 8" xfId="12335" xr:uid="{00000000-0005-0000-0000-0000A22F0000}"/>
    <cellStyle name="Normal 9 3 9" xfId="12336" xr:uid="{00000000-0005-0000-0000-0000A32F0000}"/>
    <cellStyle name="Normal 9 4" xfId="2924" xr:uid="{00000000-0005-0000-0000-0000A42F0000}"/>
    <cellStyle name="Normal 9 4 10" xfId="12337" xr:uid="{00000000-0005-0000-0000-0000A52F0000}"/>
    <cellStyle name="Normal 9 4 11" xfId="12338" xr:uid="{00000000-0005-0000-0000-0000A62F0000}"/>
    <cellStyle name="Normal 9 4 12" xfId="12339" xr:uid="{00000000-0005-0000-0000-0000A72F0000}"/>
    <cellStyle name="Normal 9 4 2" xfId="2925" xr:uid="{00000000-0005-0000-0000-0000A82F0000}"/>
    <cellStyle name="Normal 9 4 2 2" xfId="2926" xr:uid="{00000000-0005-0000-0000-0000A92F0000}"/>
    <cellStyle name="Normal 9 4 2 2 2" xfId="2927" xr:uid="{00000000-0005-0000-0000-0000AA2F0000}"/>
    <cellStyle name="Normal 9 4 2 2 2 2" xfId="2928" xr:uid="{00000000-0005-0000-0000-0000AB2F0000}"/>
    <cellStyle name="Normal 9 4 2 2 2 2 2" xfId="2929" xr:uid="{00000000-0005-0000-0000-0000AC2F0000}"/>
    <cellStyle name="Normal 9 4 2 2 2 3" xfId="2930" xr:uid="{00000000-0005-0000-0000-0000AD2F0000}"/>
    <cellStyle name="Normal 9 4 2 2 3" xfId="2931" xr:uid="{00000000-0005-0000-0000-0000AE2F0000}"/>
    <cellStyle name="Normal 9 4 2 2 3 2" xfId="2932" xr:uid="{00000000-0005-0000-0000-0000AF2F0000}"/>
    <cellStyle name="Normal 9 4 2 2 4" xfId="2933" xr:uid="{00000000-0005-0000-0000-0000B02F0000}"/>
    <cellStyle name="Normal 9 4 2 3" xfId="2934" xr:uid="{00000000-0005-0000-0000-0000B12F0000}"/>
    <cellStyle name="Normal 9 4 2 3 2" xfId="2935" xr:uid="{00000000-0005-0000-0000-0000B22F0000}"/>
    <cellStyle name="Normal 9 4 2 3 2 2" xfId="2936" xr:uid="{00000000-0005-0000-0000-0000B32F0000}"/>
    <cellStyle name="Normal 9 4 2 3 3" xfId="2937" xr:uid="{00000000-0005-0000-0000-0000B42F0000}"/>
    <cellStyle name="Normal 9 4 2 4" xfId="2938" xr:uid="{00000000-0005-0000-0000-0000B52F0000}"/>
    <cellStyle name="Normal 9 4 2 4 2" xfId="2939" xr:uid="{00000000-0005-0000-0000-0000B62F0000}"/>
    <cellStyle name="Normal 9 4 2 5" xfId="2940" xr:uid="{00000000-0005-0000-0000-0000B72F0000}"/>
    <cellStyle name="Normal 9 4 2 6" xfId="12340" xr:uid="{00000000-0005-0000-0000-0000B82F0000}"/>
    <cellStyle name="Normal 9 4 2 7" xfId="12341" xr:uid="{00000000-0005-0000-0000-0000B92F0000}"/>
    <cellStyle name="Normal 9 4 2 8" xfId="12342" xr:uid="{00000000-0005-0000-0000-0000BA2F0000}"/>
    <cellStyle name="Normal 9 4 2 9" xfId="12343" xr:uid="{00000000-0005-0000-0000-0000BB2F0000}"/>
    <cellStyle name="Normal 9 4 3" xfId="2941" xr:uid="{00000000-0005-0000-0000-0000BC2F0000}"/>
    <cellStyle name="Normal 9 4 3 2" xfId="2942" xr:uid="{00000000-0005-0000-0000-0000BD2F0000}"/>
    <cellStyle name="Normal 9 4 3 2 2" xfId="2943" xr:uid="{00000000-0005-0000-0000-0000BE2F0000}"/>
    <cellStyle name="Normal 9 4 3 2 2 2" xfId="2944" xr:uid="{00000000-0005-0000-0000-0000BF2F0000}"/>
    <cellStyle name="Normal 9 4 3 2 3" xfId="2945" xr:uid="{00000000-0005-0000-0000-0000C02F0000}"/>
    <cellStyle name="Normal 9 4 3 3" xfId="2946" xr:uid="{00000000-0005-0000-0000-0000C12F0000}"/>
    <cellStyle name="Normal 9 4 3 3 2" xfId="2947" xr:uid="{00000000-0005-0000-0000-0000C22F0000}"/>
    <cellStyle name="Normal 9 4 3 4" xfId="2948" xr:uid="{00000000-0005-0000-0000-0000C32F0000}"/>
    <cellStyle name="Normal 9 4 3 5" xfId="12344" xr:uid="{00000000-0005-0000-0000-0000C42F0000}"/>
    <cellStyle name="Normal 9 4 4" xfId="2949" xr:uid="{00000000-0005-0000-0000-0000C52F0000}"/>
    <cellStyle name="Normal 9 4 4 2" xfId="2950" xr:uid="{00000000-0005-0000-0000-0000C62F0000}"/>
    <cellStyle name="Normal 9 4 4 2 2" xfId="2951" xr:uid="{00000000-0005-0000-0000-0000C72F0000}"/>
    <cellStyle name="Normal 9 4 4 3" xfId="2952" xr:uid="{00000000-0005-0000-0000-0000C82F0000}"/>
    <cellStyle name="Normal 9 4 5" xfId="2953" xr:uid="{00000000-0005-0000-0000-0000C92F0000}"/>
    <cellStyle name="Normal 9 4 5 2" xfId="2954" xr:uid="{00000000-0005-0000-0000-0000CA2F0000}"/>
    <cellStyle name="Normal 9 4 6" xfId="2955" xr:uid="{00000000-0005-0000-0000-0000CB2F0000}"/>
    <cellStyle name="Normal 9 4 6 2" xfId="12345" xr:uid="{00000000-0005-0000-0000-0000CC2F0000}"/>
    <cellStyle name="Normal 9 4 7" xfId="12346" xr:uid="{00000000-0005-0000-0000-0000CD2F0000}"/>
    <cellStyle name="Normal 9 4 8" xfId="12347" xr:uid="{00000000-0005-0000-0000-0000CE2F0000}"/>
    <cellStyle name="Normal 9 4 9" xfId="12348" xr:uid="{00000000-0005-0000-0000-0000CF2F0000}"/>
    <cellStyle name="Normal 9 5" xfId="2956" xr:uid="{00000000-0005-0000-0000-0000D02F0000}"/>
    <cellStyle name="Normal 9 5 2" xfId="2957" xr:uid="{00000000-0005-0000-0000-0000D12F0000}"/>
    <cellStyle name="Normal 9 5 2 2" xfId="2958" xr:uid="{00000000-0005-0000-0000-0000D22F0000}"/>
    <cellStyle name="Normal 9 5 2 2 2" xfId="2959" xr:uid="{00000000-0005-0000-0000-0000D32F0000}"/>
    <cellStyle name="Normal 9 5 2 2 2 2" xfId="2960" xr:uid="{00000000-0005-0000-0000-0000D42F0000}"/>
    <cellStyle name="Normal 9 5 2 2 3" xfId="2961" xr:uid="{00000000-0005-0000-0000-0000D52F0000}"/>
    <cellStyle name="Normal 9 5 2 3" xfId="2962" xr:uid="{00000000-0005-0000-0000-0000D62F0000}"/>
    <cellStyle name="Normal 9 5 2 3 2" xfId="2963" xr:uid="{00000000-0005-0000-0000-0000D72F0000}"/>
    <cellStyle name="Normal 9 5 2 4" xfId="2964" xr:uid="{00000000-0005-0000-0000-0000D82F0000}"/>
    <cellStyle name="Normal 9 5 3" xfId="2965" xr:uid="{00000000-0005-0000-0000-0000D92F0000}"/>
    <cellStyle name="Normal 9 5 3 2" xfId="2966" xr:uid="{00000000-0005-0000-0000-0000DA2F0000}"/>
    <cellStyle name="Normal 9 5 3 2 2" xfId="2967" xr:uid="{00000000-0005-0000-0000-0000DB2F0000}"/>
    <cellStyle name="Normal 9 5 3 3" xfId="2968" xr:uid="{00000000-0005-0000-0000-0000DC2F0000}"/>
    <cellStyle name="Normal 9 5 4" xfId="2969" xr:uid="{00000000-0005-0000-0000-0000DD2F0000}"/>
    <cellStyle name="Normal 9 5 4 2" xfId="2970" xr:uid="{00000000-0005-0000-0000-0000DE2F0000}"/>
    <cellStyle name="Normal 9 5 5" xfId="2971" xr:uid="{00000000-0005-0000-0000-0000DF2F0000}"/>
    <cellStyle name="Normal 9 5 6" xfId="12349" xr:uid="{00000000-0005-0000-0000-0000E02F0000}"/>
    <cellStyle name="Normal 9 6" xfId="2972" xr:uid="{00000000-0005-0000-0000-0000E12F0000}"/>
    <cellStyle name="Normal 9 6 2" xfId="2973" xr:uid="{00000000-0005-0000-0000-0000E22F0000}"/>
    <cellStyle name="Normal 9 6 2 2" xfId="2974" xr:uid="{00000000-0005-0000-0000-0000E32F0000}"/>
    <cellStyle name="Normal 9 6 2 2 2" xfId="2975" xr:uid="{00000000-0005-0000-0000-0000E42F0000}"/>
    <cellStyle name="Normal 9 6 2 3" xfId="2976" xr:uid="{00000000-0005-0000-0000-0000E52F0000}"/>
    <cellStyle name="Normal 9 6 3" xfId="2977" xr:uid="{00000000-0005-0000-0000-0000E62F0000}"/>
    <cellStyle name="Normal 9 6 3 2" xfId="2978" xr:uid="{00000000-0005-0000-0000-0000E72F0000}"/>
    <cellStyle name="Normal 9 6 4" xfId="2979" xr:uid="{00000000-0005-0000-0000-0000E82F0000}"/>
    <cellStyle name="Normal 9 6 5" xfId="12350" xr:uid="{00000000-0005-0000-0000-0000E92F0000}"/>
    <cellStyle name="Normal 9 6 6" xfId="12351" xr:uid="{00000000-0005-0000-0000-0000EA2F0000}"/>
    <cellStyle name="Normal 9 6 7" xfId="12352" xr:uid="{00000000-0005-0000-0000-0000EB2F0000}"/>
    <cellStyle name="Normal 9 6 8" xfId="12353" xr:uid="{00000000-0005-0000-0000-0000EC2F0000}"/>
    <cellStyle name="Normal 9 6 9" xfId="12354" xr:uid="{00000000-0005-0000-0000-0000ED2F0000}"/>
    <cellStyle name="Normal 9 7" xfId="2980" xr:uid="{00000000-0005-0000-0000-0000EE2F0000}"/>
    <cellStyle name="Normal 9 7 2" xfId="2981" xr:uid="{00000000-0005-0000-0000-0000EF2F0000}"/>
    <cellStyle name="Normal 9 7 2 2" xfId="2982" xr:uid="{00000000-0005-0000-0000-0000F02F0000}"/>
    <cellStyle name="Normal 9 7 3" xfId="2983" xr:uid="{00000000-0005-0000-0000-0000F12F0000}"/>
    <cellStyle name="Normal 9 8" xfId="2984" xr:uid="{00000000-0005-0000-0000-0000F22F0000}"/>
    <cellStyle name="Normal 9 8 2" xfId="2985" xr:uid="{00000000-0005-0000-0000-0000F32F0000}"/>
    <cellStyle name="Normal 9 9" xfId="2986" xr:uid="{00000000-0005-0000-0000-0000F42F0000}"/>
    <cellStyle name="Normal 9 9 2" xfId="12355" xr:uid="{00000000-0005-0000-0000-0000F52F0000}"/>
    <cellStyle name="Normal 9_Actual" xfId="12356" xr:uid="{00000000-0005-0000-0000-0000F62F0000}"/>
    <cellStyle name="Normal 90" xfId="12357" xr:uid="{00000000-0005-0000-0000-0000F72F0000}"/>
    <cellStyle name="Normal 91" xfId="12358" xr:uid="{00000000-0005-0000-0000-0000F82F0000}"/>
    <cellStyle name="Normal 92" xfId="12359" xr:uid="{00000000-0005-0000-0000-0000F92F0000}"/>
    <cellStyle name="Normal 93" xfId="12360" xr:uid="{00000000-0005-0000-0000-0000FA2F0000}"/>
    <cellStyle name="Normal 94" xfId="12361" xr:uid="{00000000-0005-0000-0000-0000FB2F0000}"/>
    <cellStyle name="Normal 95" xfId="12362" xr:uid="{00000000-0005-0000-0000-0000FC2F0000}"/>
    <cellStyle name="Normal 95 2" xfId="16887" xr:uid="{00000000-0005-0000-0000-0000FD2F0000}"/>
    <cellStyle name="Normal 96" xfId="12363" xr:uid="{00000000-0005-0000-0000-0000FE2F0000}"/>
    <cellStyle name="Normal 97" xfId="12364" xr:uid="{00000000-0005-0000-0000-0000FF2F0000}"/>
    <cellStyle name="Normal 98" xfId="12365" xr:uid="{00000000-0005-0000-0000-000000300000}"/>
    <cellStyle name="Normal 99" xfId="12366" xr:uid="{00000000-0005-0000-0000-000001300000}"/>
    <cellStyle name="Normal_System Average Rate_version2" xfId="35" xr:uid="{00000000-0005-0000-0000-000002300000}"/>
    <cellStyle name="Note 10" xfId="12367" xr:uid="{00000000-0005-0000-0000-000003300000}"/>
    <cellStyle name="Note 10 2" xfId="12368" xr:uid="{00000000-0005-0000-0000-000004300000}"/>
    <cellStyle name="Note 10 2 2" xfId="12369" xr:uid="{00000000-0005-0000-0000-000005300000}"/>
    <cellStyle name="Note 10 3" xfId="12370" xr:uid="{00000000-0005-0000-0000-000006300000}"/>
    <cellStyle name="Note 10 4" xfId="12371" xr:uid="{00000000-0005-0000-0000-000007300000}"/>
    <cellStyle name="Note 10 5" xfId="12372" xr:uid="{00000000-0005-0000-0000-000008300000}"/>
    <cellStyle name="Note 11" xfId="12373" xr:uid="{00000000-0005-0000-0000-000009300000}"/>
    <cellStyle name="Note 11 2" xfId="12374" xr:uid="{00000000-0005-0000-0000-00000A300000}"/>
    <cellStyle name="Note 11 3" xfId="12375" xr:uid="{00000000-0005-0000-0000-00000B300000}"/>
    <cellStyle name="Note 12" xfId="12376" xr:uid="{00000000-0005-0000-0000-00000C300000}"/>
    <cellStyle name="Note 12 2" xfId="12377" xr:uid="{00000000-0005-0000-0000-00000D300000}"/>
    <cellStyle name="Note 12 3" xfId="12378" xr:uid="{00000000-0005-0000-0000-00000E300000}"/>
    <cellStyle name="Note 13" xfId="12379" xr:uid="{00000000-0005-0000-0000-00000F300000}"/>
    <cellStyle name="Note 13 2" xfId="12380" xr:uid="{00000000-0005-0000-0000-000010300000}"/>
    <cellStyle name="Note 13 3" xfId="12381" xr:uid="{00000000-0005-0000-0000-000011300000}"/>
    <cellStyle name="Note 14" xfId="12382" xr:uid="{00000000-0005-0000-0000-000012300000}"/>
    <cellStyle name="Note 15" xfId="12383" xr:uid="{00000000-0005-0000-0000-000013300000}"/>
    <cellStyle name="Note 15 2" xfId="12384" xr:uid="{00000000-0005-0000-0000-000014300000}"/>
    <cellStyle name="Note 15 3" xfId="12385" xr:uid="{00000000-0005-0000-0000-000015300000}"/>
    <cellStyle name="Note 16" xfId="12386" xr:uid="{00000000-0005-0000-0000-000016300000}"/>
    <cellStyle name="Note 17" xfId="12387" xr:uid="{00000000-0005-0000-0000-000017300000}"/>
    <cellStyle name="Note 2" xfId="3110" xr:uid="{00000000-0005-0000-0000-000018300000}"/>
    <cellStyle name="Note 2 10" xfId="12388" xr:uid="{00000000-0005-0000-0000-000019300000}"/>
    <cellStyle name="Note 2 11" xfId="12389" xr:uid="{00000000-0005-0000-0000-00001A300000}"/>
    <cellStyle name="Note 2 12" xfId="12390" xr:uid="{00000000-0005-0000-0000-00001B300000}"/>
    <cellStyle name="Note 2 12 10" xfId="12391" xr:uid="{00000000-0005-0000-0000-00001C300000}"/>
    <cellStyle name="Note 2 12 11" xfId="12392" xr:uid="{00000000-0005-0000-0000-00001D300000}"/>
    <cellStyle name="Note 2 12 12" xfId="12393" xr:uid="{00000000-0005-0000-0000-00001E300000}"/>
    <cellStyle name="Note 2 12 13" xfId="12394" xr:uid="{00000000-0005-0000-0000-00001F300000}"/>
    <cellStyle name="Note 2 12 14" xfId="12395" xr:uid="{00000000-0005-0000-0000-000020300000}"/>
    <cellStyle name="Note 2 12 2" xfId="12396" xr:uid="{00000000-0005-0000-0000-000021300000}"/>
    <cellStyle name="Note 2 12 2 10" xfId="12397" xr:uid="{00000000-0005-0000-0000-000022300000}"/>
    <cellStyle name="Note 2 12 2 11" xfId="12398" xr:uid="{00000000-0005-0000-0000-000023300000}"/>
    <cellStyle name="Note 2 12 2 12" xfId="12399" xr:uid="{00000000-0005-0000-0000-000024300000}"/>
    <cellStyle name="Note 2 12 2 13" xfId="12400" xr:uid="{00000000-0005-0000-0000-000025300000}"/>
    <cellStyle name="Note 2 12 2 2" xfId="12401" xr:uid="{00000000-0005-0000-0000-000026300000}"/>
    <cellStyle name="Note 2 12 2 2 10" xfId="12402" xr:uid="{00000000-0005-0000-0000-000027300000}"/>
    <cellStyle name="Note 2 12 2 2 11" xfId="12403" xr:uid="{00000000-0005-0000-0000-000028300000}"/>
    <cellStyle name="Note 2 12 2 2 12" xfId="12404" xr:uid="{00000000-0005-0000-0000-000029300000}"/>
    <cellStyle name="Note 2 12 2 2 2" xfId="12405" xr:uid="{00000000-0005-0000-0000-00002A300000}"/>
    <cellStyle name="Note 2 12 2 2 2 10" xfId="12406" xr:uid="{00000000-0005-0000-0000-00002B300000}"/>
    <cellStyle name="Note 2 12 2 2 2 11" xfId="12407" xr:uid="{00000000-0005-0000-0000-00002C300000}"/>
    <cellStyle name="Note 2 12 2 2 2 2" xfId="12408" xr:uid="{00000000-0005-0000-0000-00002D300000}"/>
    <cellStyle name="Note 2 12 2 2 2 2 2" xfId="12409" xr:uid="{00000000-0005-0000-0000-00002E300000}"/>
    <cellStyle name="Note 2 12 2 2 2 2 2 2" xfId="12410" xr:uid="{00000000-0005-0000-0000-00002F300000}"/>
    <cellStyle name="Note 2 12 2 2 2 2 2 3" xfId="12411" xr:uid="{00000000-0005-0000-0000-000030300000}"/>
    <cellStyle name="Note 2 12 2 2 2 2 3" xfId="12412" xr:uid="{00000000-0005-0000-0000-000031300000}"/>
    <cellStyle name="Note 2 12 2 2 2 2 3 2" xfId="12413" xr:uid="{00000000-0005-0000-0000-000032300000}"/>
    <cellStyle name="Note 2 12 2 2 2 2 4" xfId="12414" xr:uid="{00000000-0005-0000-0000-000033300000}"/>
    <cellStyle name="Note 2 12 2 2 2 2 5" xfId="12415" xr:uid="{00000000-0005-0000-0000-000034300000}"/>
    <cellStyle name="Note 2 12 2 2 2 2 6" xfId="12416" xr:uid="{00000000-0005-0000-0000-000035300000}"/>
    <cellStyle name="Note 2 12 2 2 2 2 7" xfId="12417" xr:uid="{00000000-0005-0000-0000-000036300000}"/>
    <cellStyle name="Note 2 12 2 2 2 2 8" xfId="12418" xr:uid="{00000000-0005-0000-0000-000037300000}"/>
    <cellStyle name="Note 2 12 2 2 2 3" xfId="12419" xr:uid="{00000000-0005-0000-0000-000038300000}"/>
    <cellStyle name="Note 2 12 2 2 2 3 2" xfId="12420" xr:uid="{00000000-0005-0000-0000-000039300000}"/>
    <cellStyle name="Note 2 12 2 2 2 3 2 2" xfId="12421" xr:uid="{00000000-0005-0000-0000-00003A300000}"/>
    <cellStyle name="Note 2 12 2 2 2 3 3" xfId="12422" xr:uid="{00000000-0005-0000-0000-00003B300000}"/>
    <cellStyle name="Note 2 12 2 2 2 3 4" xfId="12423" xr:uid="{00000000-0005-0000-0000-00003C300000}"/>
    <cellStyle name="Note 2 12 2 2 2 4" xfId="12424" xr:uid="{00000000-0005-0000-0000-00003D300000}"/>
    <cellStyle name="Note 2 12 2 2 2 4 2" xfId="12425" xr:uid="{00000000-0005-0000-0000-00003E300000}"/>
    <cellStyle name="Note 2 12 2 2 2 5" xfId="12426" xr:uid="{00000000-0005-0000-0000-00003F300000}"/>
    <cellStyle name="Note 2 12 2 2 2 5 2" xfId="12427" xr:uid="{00000000-0005-0000-0000-000040300000}"/>
    <cellStyle name="Note 2 12 2 2 2 6" xfId="12428" xr:uid="{00000000-0005-0000-0000-000041300000}"/>
    <cellStyle name="Note 2 12 2 2 2 6 2" xfId="12429" xr:uid="{00000000-0005-0000-0000-000042300000}"/>
    <cellStyle name="Note 2 12 2 2 2 7" xfId="12430" xr:uid="{00000000-0005-0000-0000-000043300000}"/>
    <cellStyle name="Note 2 12 2 2 2 8" xfId="12431" xr:uid="{00000000-0005-0000-0000-000044300000}"/>
    <cellStyle name="Note 2 12 2 2 2 9" xfId="12432" xr:uid="{00000000-0005-0000-0000-000045300000}"/>
    <cellStyle name="Note 2 12 2 2 3" xfId="12433" xr:uid="{00000000-0005-0000-0000-000046300000}"/>
    <cellStyle name="Note 2 12 2 2 3 2" xfId="12434" xr:uid="{00000000-0005-0000-0000-000047300000}"/>
    <cellStyle name="Note 2 12 2 2 3 2 2" xfId="12435" xr:uid="{00000000-0005-0000-0000-000048300000}"/>
    <cellStyle name="Note 2 12 2 2 3 2 3" xfId="12436" xr:uid="{00000000-0005-0000-0000-000049300000}"/>
    <cellStyle name="Note 2 12 2 2 3 3" xfId="12437" xr:uid="{00000000-0005-0000-0000-00004A300000}"/>
    <cellStyle name="Note 2 12 2 2 3 3 2" xfId="12438" xr:uid="{00000000-0005-0000-0000-00004B300000}"/>
    <cellStyle name="Note 2 12 2 2 3 4" xfId="12439" xr:uid="{00000000-0005-0000-0000-00004C300000}"/>
    <cellStyle name="Note 2 12 2 2 3 5" xfId="12440" xr:uid="{00000000-0005-0000-0000-00004D300000}"/>
    <cellStyle name="Note 2 12 2 2 3 6" xfId="12441" xr:uid="{00000000-0005-0000-0000-00004E300000}"/>
    <cellStyle name="Note 2 12 2 2 3 7" xfId="12442" xr:uid="{00000000-0005-0000-0000-00004F300000}"/>
    <cellStyle name="Note 2 12 2 2 3 8" xfId="12443" xr:uid="{00000000-0005-0000-0000-000050300000}"/>
    <cellStyle name="Note 2 12 2 2 4" xfId="12444" xr:uid="{00000000-0005-0000-0000-000051300000}"/>
    <cellStyle name="Note 2 12 2 2 4 2" xfId="12445" xr:uid="{00000000-0005-0000-0000-000052300000}"/>
    <cellStyle name="Note 2 12 2 2 4 2 2" xfId="12446" xr:uid="{00000000-0005-0000-0000-000053300000}"/>
    <cellStyle name="Note 2 12 2 2 4 3" xfId="12447" xr:uid="{00000000-0005-0000-0000-000054300000}"/>
    <cellStyle name="Note 2 12 2 2 4 4" xfId="12448" xr:uid="{00000000-0005-0000-0000-000055300000}"/>
    <cellStyle name="Note 2 12 2 2 5" xfId="12449" xr:uid="{00000000-0005-0000-0000-000056300000}"/>
    <cellStyle name="Note 2 12 2 2 5 2" xfId="12450" xr:uid="{00000000-0005-0000-0000-000057300000}"/>
    <cellStyle name="Note 2 12 2 2 6" xfId="12451" xr:uid="{00000000-0005-0000-0000-000058300000}"/>
    <cellStyle name="Note 2 12 2 2 6 2" xfId="12452" xr:uid="{00000000-0005-0000-0000-000059300000}"/>
    <cellStyle name="Note 2 12 2 2 7" xfId="12453" xr:uid="{00000000-0005-0000-0000-00005A300000}"/>
    <cellStyle name="Note 2 12 2 2 7 2" xfId="12454" xr:uid="{00000000-0005-0000-0000-00005B300000}"/>
    <cellStyle name="Note 2 12 2 2 8" xfId="12455" xr:uid="{00000000-0005-0000-0000-00005C300000}"/>
    <cellStyle name="Note 2 12 2 2 9" xfId="12456" xr:uid="{00000000-0005-0000-0000-00005D300000}"/>
    <cellStyle name="Note 2 12 2 3" xfId="12457" xr:uid="{00000000-0005-0000-0000-00005E300000}"/>
    <cellStyle name="Note 2 12 2 3 10" xfId="12458" xr:uid="{00000000-0005-0000-0000-00005F300000}"/>
    <cellStyle name="Note 2 12 2 3 11" xfId="12459" xr:uid="{00000000-0005-0000-0000-000060300000}"/>
    <cellStyle name="Note 2 12 2 3 2" xfId="12460" xr:uid="{00000000-0005-0000-0000-000061300000}"/>
    <cellStyle name="Note 2 12 2 3 2 2" xfId="12461" xr:uid="{00000000-0005-0000-0000-000062300000}"/>
    <cellStyle name="Note 2 12 2 3 2 2 2" xfId="12462" xr:uid="{00000000-0005-0000-0000-000063300000}"/>
    <cellStyle name="Note 2 12 2 3 2 2 3" xfId="12463" xr:uid="{00000000-0005-0000-0000-000064300000}"/>
    <cellStyle name="Note 2 12 2 3 2 3" xfId="12464" xr:uid="{00000000-0005-0000-0000-000065300000}"/>
    <cellStyle name="Note 2 12 2 3 2 3 2" xfId="12465" xr:uid="{00000000-0005-0000-0000-000066300000}"/>
    <cellStyle name="Note 2 12 2 3 2 4" xfId="12466" xr:uid="{00000000-0005-0000-0000-000067300000}"/>
    <cellStyle name="Note 2 12 2 3 2 5" xfId="12467" xr:uid="{00000000-0005-0000-0000-000068300000}"/>
    <cellStyle name="Note 2 12 2 3 2 6" xfId="12468" xr:uid="{00000000-0005-0000-0000-000069300000}"/>
    <cellStyle name="Note 2 12 2 3 2 7" xfId="12469" xr:uid="{00000000-0005-0000-0000-00006A300000}"/>
    <cellStyle name="Note 2 12 2 3 2 8" xfId="12470" xr:uid="{00000000-0005-0000-0000-00006B300000}"/>
    <cellStyle name="Note 2 12 2 3 3" xfId="12471" xr:uid="{00000000-0005-0000-0000-00006C300000}"/>
    <cellStyle name="Note 2 12 2 3 3 2" xfId="12472" xr:uid="{00000000-0005-0000-0000-00006D300000}"/>
    <cellStyle name="Note 2 12 2 3 3 2 2" xfId="12473" xr:uid="{00000000-0005-0000-0000-00006E300000}"/>
    <cellStyle name="Note 2 12 2 3 3 3" xfId="12474" xr:uid="{00000000-0005-0000-0000-00006F300000}"/>
    <cellStyle name="Note 2 12 2 3 3 4" xfId="12475" xr:uid="{00000000-0005-0000-0000-000070300000}"/>
    <cellStyle name="Note 2 12 2 3 4" xfId="12476" xr:uid="{00000000-0005-0000-0000-000071300000}"/>
    <cellStyle name="Note 2 12 2 3 4 2" xfId="12477" xr:uid="{00000000-0005-0000-0000-000072300000}"/>
    <cellStyle name="Note 2 12 2 3 5" xfId="12478" xr:uid="{00000000-0005-0000-0000-000073300000}"/>
    <cellStyle name="Note 2 12 2 3 5 2" xfId="12479" xr:uid="{00000000-0005-0000-0000-000074300000}"/>
    <cellStyle name="Note 2 12 2 3 6" xfId="12480" xr:uid="{00000000-0005-0000-0000-000075300000}"/>
    <cellStyle name="Note 2 12 2 3 6 2" xfId="12481" xr:uid="{00000000-0005-0000-0000-000076300000}"/>
    <cellStyle name="Note 2 12 2 3 7" xfId="12482" xr:uid="{00000000-0005-0000-0000-000077300000}"/>
    <cellStyle name="Note 2 12 2 3 8" xfId="12483" xr:uid="{00000000-0005-0000-0000-000078300000}"/>
    <cellStyle name="Note 2 12 2 3 9" xfId="12484" xr:uid="{00000000-0005-0000-0000-000079300000}"/>
    <cellStyle name="Note 2 12 2 4" xfId="12485" xr:uid="{00000000-0005-0000-0000-00007A300000}"/>
    <cellStyle name="Note 2 12 2 4 2" xfId="12486" xr:uid="{00000000-0005-0000-0000-00007B300000}"/>
    <cellStyle name="Note 2 12 2 4 2 2" xfId="12487" xr:uid="{00000000-0005-0000-0000-00007C300000}"/>
    <cellStyle name="Note 2 12 2 4 2 3" xfId="12488" xr:uid="{00000000-0005-0000-0000-00007D300000}"/>
    <cellStyle name="Note 2 12 2 4 3" xfId="12489" xr:uid="{00000000-0005-0000-0000-00007E300000}"/>
    <cellStyle name="Note 2 12 2 4 3 2" xfId="12490" xr:uid="{00000000-0005-0000-0000-00007F300000}"/>
    <cellStyle name="Note 2 12 2 4 4" xfId="12491" xr:uid="{00000000-0005-0000-0000-000080300000}"/>
    <cellStyle name="Note 2 12 2 4 5" xfId="12492" xr:uid="{00000000-0005-0000-0000-000081300000}"/>
    <cellStyle name="Note 2 12 2 4 6" xfId="12493" xr:uid="{00000000-0005-0000-0000-000082300000}"/>
    <cellStyle name="Note 2 12 2 4 7" xfId="12494" xr:uid="{00000000-0005-0000-0000-000083300000}"/>
    <cellStyle name="Note 2 12 2 4 8" xfId="12495" xr:uid="{00000000-0005-0000-0000-000084300000}"/>
    <cellStyle name="Note 2 12 2 5" xfId="12496" xr:uid="{00000000-0005-0000-0000-000085300000}"/>
    <cellStyle name="Note 2 12 2 5 2" xfId="12497" xr:uid="{00000000-0005-0000-0000-000086300000}"/>
    <cellStyle name="Note 2 12 2 5 2 2" xfId="12498" xr:uid="{00000000-0005-0000-0000-000087300000}"/>
    <cellStyle name="Note 2 12 2 5 3" xfId="12499" xr:uid="{00000000-0005-0000-0000-000088300000}"/>
    <cellStyle name="Note 2 12 2 5 4" xfId="12500" xr:uid="{00000000-0005-0000-0000-000089300000}"/>
    <cellStyle name="Note 2 12 2 6" xfId="12501" xr:uid="{00000000-0005-0000-0000-00008A300000}"/>
    <cellStyle name="Note 2 12 2 6 2" xfId="12502" xr:uid="{00000000-0005-0000-0000-00008B300000}"/>
    <cellStyle name="Note 2 12 2 7" xfId="12503" xr:uid="{00000000-0005-0000-0000-00008C300000}"/>
    <cellStyle name="Note 2 12 2 7 2" xfId="12504" xr:uid="{00000000-0005-0000-0000-00008D300000}"/>
    <cellStyle name="Note 2 12 2 8" xfId="12505" xr:uid="{00000000-0005-0000-0000-00008E300000}"/>
    <cellStyle name="Note 2 12 2 8 2" xfId="12506" xr:uid="{00000000-0005-0000-0000-00008F300000}"/>
    <cellStyle name="Note 2 12 2 9" xfId="12507" xr:uid="{00000000-0005-0000-0000-000090300000}"/>
    <cellStyle name="Note 2 12 3" xfId="12508" xr:uid="{00000000-0005-0000-0000-000091300000}"/>
    <cellStyle name="Note 2 12 3 10" xfId="12509" xr:uid="{00000000-0005-0000-0000-000092300000}"/>
    <cellStyle name="Note 2 12 3 11" xfId="12510" xr:uid="{00000000-0005-0000-0000-000093300000}"/>
    <cellStyle name="Note 2 12 3 12" xfId="12511" xr:uid="{00000000-0005-0000-0000-000094300000}"/>
    <cellStyle name="Note 2 12 3 2" xfId="12512" xr:uid="{00000000-0005-0000-0000-000095300000}"/>
    <cellStyle name="Note 2 12 3 2 10" xfId="12513" xr:uid="{00000000-0005-0000-0000-000096300000}"/>
    <cellStyle name="Note 2 12 3 2 11" xfId="12514" xr:uid="{00000000-0005-0000-0000-000097300000}"/>
    <cellStyle name="Note 2 12 3 2 2" xfId="12515" xr:uid="{00000000-0005-0000-0000-000098300000}"/>
    <cellStyle name="Note 2 12 3 2 2 2" xfId="12516" xr:uid="{00000000-0005-0000-0000-000099300000}"/>
    <cellStyle name="Note 2 12 3 2 2 2 2" xfId="12517" xr:uid="{00000000-0005-0000-0000-00009A300000}"/>
    <cellStyle name="Note 2 12 3 2 2 2 3" xfId="12518" xr:uid="{00000000-0005-0000-0000-00009B300000}"/>
    <cellStyle name="Note 2 12 3 2 2 3" xfId="12519" xr:uid="{00000000-0005-0000-0000-00009C300000}"/>
    <cellStyle name="Note 2 12 3 2 2 3 2" xfId="12520" xr:uid="{00000000-0005-0000-0000-00009D300000}"/>
    <cellStyle name="Note 2 12 3 2 2 4" xfId="12521" xr:uid="{00000000-0005-0000-0000-00009E300000}"/>
    <cellStyle name="Note 2 12 3 2 2 5" xfId="12522" xr:uid="{00000000-0005-0000-0000-00009F300000}"/>
    <cellStyle name="Note 2 12 3 2 2 6" xfId="12523" xr:uid="{00000000-0005-0000-0000-0000A0300000}"/>
    <cellStyle name="Note 2 12 3 2 2 7" xfId="12524" xr:uid="{00000000-0005-0000-0000-0000A1300000}"/>
    <cellStyle name="Note 2 12 3 2 2 8" xfId="12525" xr:uid="{00000000-0005-0000-0000-0000A2300000}"/>
    <cellStyle name="Note 2 12 3 2 3" xfId="12526" xr:uid="{00000000-0005-0000-0000-0000A3300000}"/>
    <cellStyle name="Note 2 12 3 2 3 2" xfId="12527" xr:uid="{00000000-0005-0000-0000-0000A4300000}"/>
    <cellStyle name="Note 2 12 3 2 3 2 2" xfId="12528" xr:uid="{00000000-0005-0000-0000-0000A5300000}"/>
    <cellStyle name="Note 2 12 3 2 3 3" xfId="12529" xr:uid="{00000000-0005-0000-0000-0000A6300000}"/>
    <cellStyle name="Note 2 12 3 2 3 4" xfId="12530" xr:uid="{00000000-0005-0000-0000-0000A7300000}"/>
    <cellStyle name="Note 2 12 3 2 4" xfId="12531" xr:uid="{00000000-0005-0000-0000-0000A8300000}"/>
    <cellStyle name="Note 2 12 3 2 4 2" xfId="12532" xr:uid="{00000000-0005-0000-0000-0000A9300000}"/>
    <cellStyle name="Note 2 12 3 2 5" xfId="12533" xr:uid="{00000000-0005-0000-0000-0000AA300000}"/>
    <cellStyle name="Note 2 12 3 2 5 2" xfId="12534" xr:uid="{00000000-0005-0000-0000-0000AB300000}"/>
    <cellStyle name="Note 2 12 3 2 6" xfId="12535" xr:uid="{00000000-0005-0000-0000-0000AC300000}"/>
    <cellStyle name="Note 2 12 3 2 6 2" xfId="12536" xr:uid="{00000000-0005-0000-0000-0000AD300000}"/>
    <cellStyle name="Note 2 12 3 2 7" xfId="12537" xr:uid="{00000000-0005-0000-0000-0000AE300000}"/>
    <cellStyle name="Note 2 12 3 2 8" xfId="12538" xr:uid="{00000000-0005-0000-0000-0000AF300000}"/>
    <cellStyle name="Note 2 12 3 2 9" xfId="12539" xr:uid="{00000000-0005-0000-0000-0000B0300000}"/>
    <cellStyle name="Note 2 12 3 3" xfId="12540" xr:uid="{00000000-0005-0000-0000-0000B1300000}"/>
    <cellStyle name="Note 2 12 3 3 2" xfId="12541" xr:uid="{00000000-0005-0000-0000-0000B2300000}"/>
    <cellStyle name="Note 2 12 3 3 2 2" xfId="12542" xr:uid="{00000000-0005-0000-0000-0000B3300000}"/>
    <cellStyle name="Note 2 12 3 3 2 3" xfId="12543" xr:uid="{00000000-0005-0000-0000-0000B4300000}"/>
    <cellStyle name="Note 2 12 3 3 3" xfId="12544" xr:uid="{00000000-0005-0000-0000-0000B5300000}"/>
    <cellStyle name="Note 2 12 3 3 3 2" xfId="12545" xr:uid="{00000000-0005-0000-0000-0000B6300000}"/>
    <cellStyle name="Note 2 12 3 3 4" xfId="12546" xr:uid="{00000000-0005-0000-0000-0000B7300000}"/>
    <cellStyle name="Note 2 12 3 3 5" xfId="12547" xr:uid="{00000000-0005-0000-0000-0000B8300000}"/>
    <cellStyle name="Note 2 12 3 3 6" xfId="12548" xr:uid="{00000000-0005-0000-0000-0000B9300000}"/>
    <cellStyle name="Note 2 12 3 3 7" xfId="12549" xr:uid="{00000000-0005-0000-0000-0000BA300000}"/>
    <cellStyle name="Note 2 12 3 3 8" xfId="12550" xr:uid="{00000000-0005-0000-0000-0000BB300000}"/>
    <cellStyle name="Note 2 12 3 4" xfId="12551" xr:uid="{00000000-0005-0000-0000-0000BC300000}"/>
    <cellStyle name="Note 2 12 3 4 2" xfId="12552" xr:uid="{00000000-0005-0000-0000-0000BD300000}"/>
    <cellStyle name="Note 2 12 3 4 2 2" xfId="12553" xr:uid="{00000000-0005-0000-0000-0000BE300000}"/>
    <cellStyle name="Note 2 12 3 4 3" xfId="12554" xr:uid="{00000000-0005-0000-0000-0000BF300000}"/>
    <cellStyle name="Note 2 12 3 4 4" xfId="12555" xr:uid="{00000000-0005-0000-0000-0000C0300000}"/>
    <cellStyle name="Note 2 12 3 5" xfId="12556" xr:uid="{00000000-0005-0000-0000-0000C1300000}"/>
    <cellStyle name="Note 2 12 3 5 2" xfId="12557" xr:uid="{00000000-0005-0000-0000-0000C2300000}"/>
    <cellStyle name="Note 2 12 3 6" xfId="12558" xr:uid="{00000000-0005-0000-0000-0000C3300000}"/>
    <cellStyle name="Note 2 12 3 6 2" xfId="12559" xr:uid="{00000000-0005-0000-0000-0000C4300000}"/>
    <cellStyle name="Note 2 12 3 7" xfId="12560" xr:uid="{00000000-0005-0000-0000-0000C5300000}"/>
    <cellStyle name="Note 2 12 3 7 2" xfId="12561" xr:uid="{00000000-0005-0000-0000-0000C6300000}"/>
    <cellStyle name="Note 2 12 3 8" xfId="12562" xr:uid="{00000000-0005-0000-0000-0000C7300000}"/>
    <cellStyle name="Note 2 12 3 9" xfId="12563" xr:uid="{00000000-0005-0000-0000-0000C8300000}"/>
    <cellStyle name="Note 2 12 4" xfId="12564" xr:uid="{00000000-0005-0000-0000-0000C9300000}"/>
    <cellStyle name="Note 2 12 4 10" xfId="12565" xr:uid="{00000000-0005-0000-0000-0000CA300000}"/>
    <cellStyle name="Note 2 12 4 11" xfId="12566" xr:uid="{00000000-0005-0000-0000-0000CB300000}"/>
    <cellStyle name="Note 2 12 4 2" xfId="12567" xr:uid="{00000000-0005-0000-0000-0000CC300000}"/>
    <cellStyle name="Note 2 12 4 2 2" xfId="12568" xr:uid="{00000000-0005-0000-0000-0000CD300000}"/>
    <cellStyle name="Note 2 12 4 2 2 2" xfId="12569" xr:uid="{00000000-0005-0000-0000-0000CE300000}"/>
    <cellStyle name="Note 2 12 4 2 2 3" xfId="12570" xr:uid="{00000000-0005-0000-0000-0000CF300000}"/>
    <cellStyle name="Note 2 12 4 2 3" xfId="12571" xr:uid="{00000000-0005-0000-0000-0000D0300000}"/>
    <cellStyle name="Note 2 12 4 2 3 2" xfId="12572" xr:uid="{00000000-0005-0000-0000-0000D1300000}"/>
    <cellStyle name="Note 2 12 4 2 4" xfId="12573" xr:uid="{00000000-0005-0000-0000-0000D2300000}"/>
    <cellStyle name="Note 2 12 4 2 5" xfId="12574" xr:uid="{00000000-0005-0000-0000-0000D3300000}"/>
    <cellStyle name="Note 2 12 4 2 6" xfId="12575" xr:uid="{00000000-0005-0000-0000-0000D4300000}"/>
    <cellStyle name="Note 2 12 4 2 7" xfId="12576" xr:uid="{00000000-0005-0000-0000-0000D5300000}"/>
    <cellStyle name="Note 2 12 4 2 8" xfId="12577" xr:uid="{00000000-0005-0000-0000-0000D6300000}"/>
    <cellStyle name="Note 2 12 4 3" xfId="12578" xr:uid="{00000000-0005-0000-0000-0000D7300000}"/>
    <cellStyle name="Note 2 12 4 3 2" xfId="12579" xr:uid="{00000000-0005-0000-0000-0000D8300000}"/>
    <cellStyle name="Note 2 12 4 3 2 2" xfId="12580" xr:uid="{00000000-0005-0000-0000-0000D9300000}"/>
    <cellStyle name="Note 2 12 4 3 3" xfId="12581" xr:uid="{00000000-0005-0000-0000-0000DA300000}"/>
    <cellStyle name="Note 2 12 4 3 4" xfId="12582" xr:uid="{00000000-0005-0000-0000-0000DB300000}"/>
    <cellStyle name="Note 2 12 4 4" xfId="12583" xr:uid="{00000000-0005-0000-0000-0000DC300000}"/>
    <cellStyle name="Note 2 12 4 4 2" xfId="12584" xr:uid="{00000000-0005-0000-0000-0000DD300000}"/>
    <cellStyle name="Note 2 12 4 5" xfId="12585" xr:uid="{00000000-0005-0000-0000-0000DE300000}"/>
    <cellStyle name="Note 2 12 4 5 2" xfId="12586" xr:uid="{00000000-0005-0000-0000-0000DF300000}"/>
    <cellStyle name="Note 2 12 4 6" xfId="12587" xr:uid="{00000000-0005-0000-0000-0000E0300000}"/>
    <cellStyle name="Note 2 12 4 6 2" xfId="12588" xr:uid="{00000000-0005-0000-0000-0000E1300000}"/>
    <cellStyle name="Note 2 12 4 7" xfId="12589" xr:uid="{00000000-0005-0000-0000-0000E2300000}"/>
    <cellStyle name="Note 2 12 4 8" xfId="12590" xr:uid="{00000000-0005-0000-0000-0000E3300000}"/>
    <cellStyle name="Note 2 12 4 9" xfId="12591" xr:uid="{00000000-0005-0000-0000-0000E4300000}"/>
    <cellStyle name="Note 2 12 5" xfId="12592" xr:uid="{00000000-0005-0000-0000-0000E5300000}"/>
    <cellStyle name="Note 2 12 5 2" xfId="12593" xr:uid="{00000000-0005-0000-0000-0000E6300000}"/>
    <cellStyle name="Note 2 12 5 2 2" xfId="12594" xr:uid="{00000000-0005-0000-0000-0000E7300000}"/>
    <cellStyle name="Note 2 12 5 2 3" xfId="12595" xr:uid="{00000000-0005-0000-0000-0000E8300000}"/>
    <cellStyle name="Note 2 12 5 3" xfId="12596" xr:uid="{00000000-0005-0000-0000-0000E9300000}"/>
    <cellStyle name="Note 2 12 5 3 2" xfId="12597" xr:uid="{00000000-0005-0000-0000-0000EA300000}"/>
    <cellStyle name="Note 2 12 5 4" xfId="12598" xr:uid="{00000000-0005-0000-0000-0000EB300000}"/>
    <cellStyle name="Note 2 12 5 5" xfId="12599" xr:uid="{00000000-0005-0000-0000-0000EC300000}"/>
    <cellStyle name="Note 2 12 5 6" xfId="12600" xr:uid="{00000000-0005-0000-0000-0000ED300000}"/>
    <cellStyle name="Note 2 12 5 7" xfId="12601" xr:uid="{00000000-0005-0000-0000-0000EE300000}"/>
    <cellStyle name="Note 2 12 5 8" xfId="12602" xr:uid="{00000000-0005-0000-0000-0000EF300000}"/>
    <cellStyle name="Note 2 12 6" xfId="12603" xr:uid="{00000000-0005-0000-0000-0000F0300000}"/>
    <cellStyle name="Note 2 12 6 2" xfId="12604" xr:uid="{00000000-0005-0000-0000-0000F1300000}"/>
    <cellStyle name="Note 2 12 6 2 2" xfId="12605" xr:uid="{00000000-0005-0000-0000-0000F2300000}"/>
    <cellStyle name="Note 2 12 6 3" xfId="12606" xr:uid="{00000000-0005-0000-0000-0000F3300000}"/>
    <cellStyle name="Note 2 12 6 4" xfId="12607" xr:uid="{00000000-0005-0000-0000-0000F4300000}"/>
    <cellStyle name="Note 2 12 7" xfId="12608" xr:uid="{00000000-0005-0000-0000-0000F5300000}"/>
    <cellStyle name="Note 2 12 7 2" xfId="12609" xr:uid="{00000000-0005-0000-0000-0000F6300000}"/>
    <cellStyle name="Note 2 12 8" xfId="12610" xr:uid="{00000000-0005-0000-0000-0000F7300000}"/>
    <cellStyle name="Note 2 12 8 2" xfId="12611" xr:uid="{00000000-0005-0000-0000-0000F8300000}"/>
    <cellStyle name="Note 2 12 9" xfId="12612" xr:uid="{00000000-0005-0000-0000-0000F9300000}"/>
    <cellStyle name="Note 2 12 9 2" xfId="12613" xr:uid="{00000000-0005-0000-0000-0000FA300000}"/>
    <cellStyle name="Note 2 13" xfId="12614" xr:uid="{00000000-0005-0000-0000-0000FB300000}"/>
    <cellStyle name="Note 2 14" xfId="12615" xr:uid="{00000000-0005-0000-0000-0000FC300000}"/>
    <cellStyle name="Note 2 15" xfId="12616" xr:uid="{00000000-0005-0000-0000-0000FD300000}"/>
    <cellStyle name="Note 2 15 10" xfId="12617" xr:uid="{00000000-0005-0000-0000-0000FE300000}"/>
    <cellStyle name="Note 2 15 11" xfId="12618" xr:uid="{00000000-0005-0000-0000-0000FF300000}"/>
    <cellStyle name="Note 2 15 12" xfId="12619" xr:uid="{00000000-0005-0000-0000-000000310000}"/>
    <cellStyle name="Note 2 15 13" xfId="12620" xr:uid="{00000000-0005-0000-0000-000001310000}"/>
    <cellStyle name="Note 2 15 2" xfId="12621" xr:uid="{00000000-0005-0000-0000-000002310000}"/>
    <cellStyle name="Note 2 15 2 10" xfId="12622" xr:uid="{00000000-0005-0000-0000-000003310000}"/>
    <cellStyle name="Note 2 15 2 11" xfId="12623" xr:uid="{00000000-0005-0000-0000-000004310000}"/>
    <cellStyle name="Note 2 15 2 12" xfId="12624" xr:uid="{00000000-0005-0000-0000-000005310000}"/>
    <cellStyle name="Note 2 15 2 2" xfId="12625" xr:uid="{00000000-0005-0000-0000-000006310000}"/>
    <cellStyle name="Note 2 15 2 2 10" xfId="12626" xr:uid="{00000000-0005-0000-0000-000007310000}"/>
    <cellStyle name="Note 2 15 2 2 11" xfId="12627" xr:uid="{00000000-0005-0000-0000-000008310000}"/>
    <cellStyle name="Note 2 15 2 2 2" xfId="12628" xr:uid="{00000000-0005-0000-0000-000009310000}"/>
    <cellStyle name="Note 2 15 2 2 2 2" xfId="12629" xr:uid="{00000000-0005-0000-0000-00000A310000}"/>
    <cellStyle name="Note 2 15 2 2 2 2 2" xfId="12630" xr:uid="{00000000-0005-0000-0000-00000B310000}"/>
    <cellStyle name="Note 2 15 2 2 2 2 3" xfId="12631" xr:uid="{00000000-0005-0000-0000-00000C310000}"/>
    <cellStyle name="Note 2 15 2 2 2 3" xfId="12632" xr:uid="{00000000-0005-0000-0000-00000D310000}"/>
    <cellStyle name="Note 2 15 2 2 2 3 2" xfId="12633" xr:uid="{00000000-0005-0000-0000-00000E310000}"/>
    <cellStyle name="Note 2 15 2 2 2 4" xfId="12634" xr:uid="{00000000-0005-0000-0000-00000F310000}"/>
    <cellStyle name="Note 2 15 2 2 2 5" xfId="12635" xr:uid="{00000000-0005-0000-0000-000010310000}"/>
    <cellStyle name="Note 2 15 2 2 2 6" xfId="12636" xr:uid="{00000000-0005-0000-0000-000011310000}"/>
    <cellStyle name="Note 2 15 2 2 2 7" xfId="12637" xr:uid="{00000000-0005-0000-0000-000012310000}"/>
    <cellStyle name="Note 2 15 2 2 2 8" xfId="12638" xr:uid="{00000000-0005-0000-0000-000013310000}"/>
    <cellStyle name="Note 2 15 2 2 3" xfId="12639" xr:uid="{00000000-0005-0000-0000-000014310000}"/>
    <cellStyle name="Note 2 15 2 2 3 2" xfId="12640" xr:uid="{00000000-0005-0000-0000-000015310000}"/>
    <cellStyle name="Note 2 15 2 2 3 2 2" xfId="12641" xr:uid="{00000000-0005-0000-0000-000016310000}"/>
    <cellStyle name="Note 2 15 2 2 3 3" xfId="12642" xr:uid="{00000000-0005-0000-0000-000017310000}"/>
    <cellStyle name="Note 2 15 2 2 3 4" xfId="12643" xr:uid="{00000000-0005-0000-0000-000018310000}"/>
    <cellStyle name="Note 2 15 2 2 4" xfId="12644" xr:uid="{00000000-0005-0000-0000-000019310000}"/>
    <cellStyle name="Note 2 15 2 2 4 2" xfId="12645" xr:uid="{00000000-0005-0000-0000-00001A310000}"/>
    <cellStyle name="Note 2 15 2 2 5" xfId="12646" xr:uid="{00000000-0005-0000-0000-00001B310000}"/>
    <cellStyle name="Note 2 15 2 2 5 2" xfId="12647" xr:uid="{00000000-0005-0000-0000-00001C310000}"/>
    <cellStyle name="Note 2 15 2 2 6" xfId="12648" xr:uid="{00000000-0005-0000-0000-00001D310000}"/>
    <cellStyle name="Note 2 15 2 2 6 2" xfId="12649" xr:uid="{00000000-0005-0000-0000-00001E310000}"/>
    <cellStyle name="Note 2 15 2 2 7" xfId="12650" xr:uid="{00000000-0005-0000-0000-00001F310000}"/>
    <cellStyle name="Note 2 15 2 2 8" xfId="12651" xr:uid="{00000000-0005-0000-0000-000020310000}"/>
    <cellStyle name="Note 2 15 2 2 9" xfId="12652" xr:uid="{00000000-0005-0000-0000-000021310000}"/>
    <cellStyle name="Note 2 15 2 3" xfId="12653" xr:uid="{00000000-0005-0000-0000-000022310000}"/>
    <cellStyle name="Note 2 15 2 3 2" xfId="12654" xr:uid="{00000000-0005-0000-0000-000023310000}"/>
    <cellStyle name="Note 2 15 2 3 2 2" xfId="12655" xr:uid="{00000000-0005-0000-0000-000024310000}"/>
    <cellStyle name="Note 2 15 2 3 2 3" xfId="12656" xr:uid="{00000000-0005-0000-0000-000025310000}"/>
    <cellStyle name="Note 2 15 2 3 3" xfId="12657" xr:uid="{00000000-0005-0000-0000-000026310000}"/>
    <cellStyle name="Note 2 15 2 3 3 2" xfId="12658" xr:uid="{00000000-0005-0000-0000-000027310000}"/>
    <cellStyle name="Note 2 15 2 3 4" xfId="12659" xr:uid="{00000000-0005-0000-0000-000028310000}"/>
    <cellStyle name="Note 2 15 2 3 5" xfId="12660" xr:uid="{00000000-0005-0000-0000-000029310000}"/>
    <cellStyle name="Note 2 15 2 3 6" xfId="12661" xr:uid="{00000000-0005-0000-0000-00002A310000}"/>
    <cellStyle name="Note 2 15 2 3 7" xfId="12662" xr:uid="{00000000-0005-0000-0000-00002B310000}"/>
    <cellStyle name="Note 2 15 2 3 8" xfId="12663" xr:uid="{00000000-0005-0000-0000-00002C310000}"/>
    <cellStyle name="Note 2 15 2 4" xfId="12664" xr:uid="{00000000-0005-0000-0000-00002D310000}"/>
    <cellStyle name="Note 2 15 2 4 2" xfId="12665" xr:uid="{00000000-0005-0000-0000-00002E310000}"/>
    <cellStyle name="Note 2 15 2 4 2 2" xfId="12666" xr:uid="{00000000-0005-0000-0000-00002F310000}"/>
    <cellStyle name="Note 2 15 2 4 3" xfId="12667" xr:uid="{00000000-0005-0000-0000-000030310000}"/>
    <cellStyle name="Note 2 15 2 4 4" xfId="12668" xr:uid="{00000000-0005-0000-0000-000031310000}"/>
    <cellStyle name="Note 2 15 2 5" xfId="12669" xr:uid="{00000000-0005-0000-0000-000032310000}"/>
    <cellStyle name="Note 2 15 2 5 2" xfId="12670" xr:uid="{00000000-0005-0000-0000-000033310000}"/>
    <cellStyle name="Note 2 15 2 6" xfId="12671" xr:uid="{00000000-0005-0000-0000-000034310000}"/>
    <cellStyle name="Note 2 15 2 6 2" xfId="12672" xr:uid="{00000000-0005-0000-0000-000035310000}"/>
    <cellStyle name="Note 2 15 2 7" xfId="12673" xr:uid="{00000000-0005-0000-0000-000036310000}"/>
    <cellStyle name="Note 2 15 2 7 2" xfId="12674" xr:uid="{00000000-0005-0000-0000-000037310000}"/>
    <cellStyle name="Note 2 15 2 8" xfId="12675" xr:uid="{00000000-0005-0000-0000-000038310000}"/>
    <cellStyle name="Note 2 15 2 9" xfId="12676" xr:uid="{00000000-0005-0000-0000-000039310000}"/>
    <cellStyle name="Note 2 15 3" xfId="12677" xr:uid="{00000000-0005-0000-0000-00003A310000}"/>
    <cellStyle name="Note 2 15 3 10" xfId="12678" xr:uid="{00000000-0005-0000-0000-00003B310000}"/>
    <cellStyle name="Note 2 15 3 11" xfId="12679" xr:uid="{00000000-0005-0000-0000-00003C310000}"/>
    <cellStyle name="Note 2 15 3 2" xfId="12680" xr:uid="{00000000-0005-0000-0000-00003D310000}"/>
    <cellStyle name="Note 2 15 3 2 2" xfId="12681" xr:uid="{00000000-0005-0000-0000-00003E310000}"/>
    <cellStyle name="Note 2 15 3 2 2 2" xfId="12682" xr:uid="{00000000-0005-0000-0000-00003F310000}"/>
    <cellStyle name="Note 2 15 3 2 2 3" xfId="12683" xr:uid="{00000000-0005-0000-0000-000040310000}"/>
    <cellStyle name="Note 2 15 3 2 3" xfId="12684" xr:uid="{00000000-0005-0000-0000-000041310000}"/>
    <cellStyle name="Note 2 15 3 2 3 2" xfId="12685" xr:uid="{00000000-0005-0000-0000-000042310000}"/>
    <cellStyle name="Note 2 15 3 2 4" xfId="12686" xr:uid="{00000000-0005-0000-0000-000043310000}"/>
    <cellStyle name="Note 2 15 3 2 5" xfId="12687" xr:uid="{00000000-0005-0000-0000-000044310000}"/>
    <cellStyle name="Note 2 15 3 2 6" xfId="12688" xr:uid="{00000000-0005-0000-0000-000045310000}"/>
    <cellStyle name="Note 2 15 3 2 7" xfId="12689" xr:uid="{00000000-0005-0000-0000-000046310000}"/>
    <cellStyle name="Note 2 15 3 2 8" xfId="12690" xr:uid="{00000000-0005-0000-0000-000047310000}"/>
    <cellStyle name="Note 2 15 3 3" xfId="12691" xr:uid="{00000000-0005-0000-0000-000048310000}"/>
    <cellStyle name="Note 2 15 3 3 2" xfId="12692" xr:uid="{00000000-0005-0000-0000-000049310000}"/>
    <cellStyle name="Note 2 15 3 3 2 2" xfId="12693" xr:uid="{00000000-0005-0000-0000-00004A310000}"/>
    <cellStyle name="Note 2 15 3 3 3" xfId="12694" xr:uid="{00000000-0005-0000-0000-00004B310000}"/>
    <cellStyle name="Note 2 15 3 3 4" xfId="12695" xr:uid="{00000000-0005-0000-0000-00004C310000}"/>
    <cellStyle name="Note 2 15 3 4" xfId="12696" xr:uid="{00000000-0005-0000-0000-00004D310000}"/>
    <cellStyle name="Note 2 15 3 4 2" xfId="12697" xr:uid="{00000000-0005-0000-0000-00004E310000}"/>
    <cellStyle name="Note 2 15 3 5" xfId="12698" xr:uid="{00000000-0005-0000-0000-00004F310000}"/>
    <cellStyle name="Note 2 15 3 5 2" xfId="12699" xr:uid="{00000000-0005-0000-0000-000050310000}"/>
    <cellStyle name="Note 2 15 3 6" xfId="12700" xr:uid="{00000000-0005-0000-0000-000051310000}"/>
    <cellStyle name="Note 2 15 3 6 2" xfId="12701" xr:uid="{00000000-0005-0000-0000-000052310000}"/>
    <cellStyle name="Note 2 15 3 7" xfId="12702" xr:uid="{00000000-0005-0000-0000-000053310000}"/>
    <cellStyle name="Note 2 15 3 8" xfId="12703" xr:uid="{00000000-0005-0000-0000-000054310000}"/>
    <cellStyle name="Note 2 15 3 9" xfId="12704" xr:uid="{00000000-0005-0000-0000-000055310000}"/>
    <cellStyle name="Note 2 15 4" xfId="12705" xr:uid="{00000000-0005-0000-0000-000056310000}"/>
    <cellStyle name="Note 2 15 4 2" xfId="12706" xr:uid="{00000000-0005-0000-0000-000057310000}"/>
    <cellStyle name="Note 2 15 4 2 2" xfId="12707" xr:uid="{00000000-0005-0000-0000-000058310000}"/>
    <cellStyle name="Note 2 15 4 2 3" xfId="12708" xr:uid="{00000000-0005-0000-0000-000059310000}"/>
    <cellStyle name="Note 2 15 4 3" xfId="12709" xr:uid="{00000000-0005-0000-0000-00005A310000}"/>
    <cellStyle name="Note 2 15 4 3 2" xfId="12710" xr:uid="{00000000-0005-0000-0000-00005B310000}"/>
    <cellStyle name="Note 2 15 4 4" xfId="12711" xr:uid="{00000000-0005-0000-0000-00005C310000}"/>
    <cellStyle name="Note 2 15 4 5" xfId="12712" xr:uid="{00000000-0005-0000-0000-00005D310000}"/>
    <cellStyle name="Note 2 15 4 6" xfId="12713" xr:uid="{00000000-0005-0000-0000-00005E310000}"/>
    <cellStyle name="Note 2 15 4 7" xfId="12714" xr:uid="{00000000-0005-0000-0000-00005F310000}"/>
    <cellStyle name="Note 2 15 4 8" xfId="12715" xr:uid="{00000000-0005-0000-0000-000060310000}"/>
    <cellStyle name="Note 2 15 5" xfId="12716" xr:uid="{00000000-0005-0000-0000-000061310000}"/>
    <cellStyle name="Note 2 15 5 2" xfId="12717" xr:uid="{00000000-0005-0000-0000-000062310000}"/>
    <cellStyle name="Note 2 15 5 2 2" xfId="12718" xr:uid="{00000000-0005-0000-0000-000063310000}"/>
    <cellStyle name="Note 2 15 5 3" xfId="12719" xr:uid="{00000000-0005-0000-0000-000064310000}"/>
    <cellStyle name="Note 2 15 5 4" xfId="12720" xr:uid="{00000000-0005-0000-0000-000065310000}"/>
    <cellStyle name="Note 2 15 6" xfId="12721" xr:uid="{00000000-0005-0000-0000-000066310000}"/>
    <cellStyle name="Note 2 15 6 2" xfId="12722" xr:uid="{00000000-0005-0000-0000-000067310000}"/>
    <cellStyle name="Note 2 15 7" xfId="12723" xr:uid="{00000000-0005-0000-0000-000068310000}"/>
    <cellStyle name="Note 2 15 7 2" xfId="12724" xr:uid="{00000000-0005-0000-0000-000069310000}"/>
    <cellStyle name="Note 2 15 8" xfId="12725" xr:uid="{00000000-0005-0000-0000-00006A310000}"/>
    <cellStyle name="Note 2 15 8 2" xfId="12726" xr:uid="{00000000-0005-0000-0000-00006B310000}"/>
    <cellStyle name="Note 2 15 9" xfId="12727" xr:uid="{00000000-0005-0000-0000-00006C310000}"/>
    <cellStyle name="Note 2 16" xfId="12728" xr:uid="{00000000-0005-0000-0000-00006D310000}"/>
    <cellStyle name="Note 2 17" xfId="12729" xr:uid="{00000000-0005-0000-0000-00006E310000}"/>
    <cellStyle name="Note 2 18" xfId="12730" xr:uid="{00000000-0005-0000-0000-00006F310000}"/>
    <cellStyle name="Note 2 2" xfId="3111" xr:uid="{00000000-0005-0000-0000-000070310000}"/>
    <cellStyle name="Note 2 2 2" xfId="12731" xr:uid="{00000000-0005-0000-0000-000071310000}"/>
    <cellStyle name="Note 2 3" xfId="3112" xr:uid="{00000000-0005-0000-0000-000072310000}"/>
    <cellStyle name="Note 2 3 2" xfId="12732" xr:uid="{00000000-0005-0000-0000-000073310000}"/>
    <cellStyle name="Note 2 4" xfId="3113" xr:uid="{00000000-0005-0000-0000-000074310000}"/>
    <cellStyle name="Note 2 4 2" xfId="12733" xr:uid="{00000000-0005-0000-0000-000075310000}"/>
    <cellStyle name="Note 2 5" xfId="3114" xr:uid="{00000000-0005-0000-0000-000076310000}"/>
    <cellStyle name="Note 2 5 2" xfId="12734" xr:uid="{00000000-0005-0000-0000-000077310000}"/>
    <cellStyle name="Note 2 6" xfId="12735" xr:uid="{00000000-0005-0000-0000-000078310000}"/>
    <cellStyle name="Note 2 6 2" xfId="12736" xr:uid="{00000000-0005-0000-0000-000079310000}"/>
    <cellStyle name="Note 2 7" xfId="12737" xr:uid="{00000000-0005-0000-0000-00007A310000}"/>
    <cellStyle name="Note 2 7 2" xfId="12738" xr:uid="{00000000-0005-0000-0000-00007B310000}"/>
    <cellStyle name="Note 2 8" xfId="12739" xr:uid="{00000000-0005-0000-0000-00007C310000}"/>
    <cellStyle name="Note 2 8 2" xfId="12740" xr:uid="{00000000-0005-0000-0000-00007D310000}"/>
    <cellStyle name="Note 2 9" xfId="12741" xr:uid="{00000000-0005-0000-0000-00007E310000}"/>
    <cellStyle name="Note 3" xfId="3115" xr:uid="{00000000-0005-0000-0000-00007F310000}"/>
    <cellStyle name="Note 3 10" xfId="12742" xr:uid="{00000000-0005-0000-0000-000080310000}"/>
    <cellStyle name="Note 3 11" xfId="12743" xr:uid="{00000000-0005-0000-0000-000081310000}"/>
    <cellStyle name="Note 3 12" xfId="12744" xr:uid="{00000000-0005-0000-0000-000082310000}"/>
    <cellStyle name="Note 3 12 10" xfId="12745" xr:uid="{00000000-0005-0000-0000-000083310000}"/>
    <cellStyle name="Note 3 12 11" xfId="12746" xr:uid="{00000000-0005-0000-0000-000084310000}"/>
    <cellStyle name="Note 3 12 12" xfId="12747" xr:uid="{00000000-0005-0000-0000-000085310000}"/>
    <cellStyle name="Note 3 12 13" xfId="12748" xr:uid="{00000000-0005-0000-0000-000086310000}"/>
    <cellStyle name="Note 3 12 14" xfId="12749" xr:uid="{00000000-0005-0000-0000-000087310000}"/>
    <cellStyle name="Note 3 12 2" xfId="12750" xr:uid="{00000000-0005-0000-0000-000088310000}"/>
    <cellStyle name="Note 3 12 2 10" xfId="12751" xr:uid="{00000000-0005-0000-0000-000089310000}"/>
    <cellStyle name="Note 3 12 2 11" xfId="12752" xr:uid="{00000000-0005-0000-0000-00008A310000}"/>
    <cellStyle name="Note 3 12 2 12" xfId="12753" xr:uid="{00000000-0005-0000-0000-00008B310000}"/>
    <cellStyle name="Note 3 12 2 13" xfId="12754" xr:uid="{00000000-0005-0000-0000-00008C310000}"/>
    <cellStyle name="Note 3 12 2 2" xfId="12755" xr:uid="{00000000-0005-0000-0000-00008D310000}"/>
    <cellStyle name="Note 3 12 2 2 10" xfId="12756" xr:uid="{00000000-0005-0000-0000-00008E310000}"/>
    <cellStyle name="Note 3 12 2 2 11" xfId="12757" xr:uid="{00000000-0005-0000-0000-00008F310000}"/>
    <cellStyle name="Note 3 12 2 2 12" xfId="12758" xr:uid="{00000000-0005-0000-0000-000090310000}"/>
    <cellStyle name="Note 3 12 2 2 2" xfId="12759" xr:uid="{00000000-0005-0000-0000-000091310000}"/>
    <cellStyle name="Note 3 12 2 2 2 10" xfId="12760" xr:uid="{00000000-0005-0000-0000-000092310000}"/>
    <cellStyle name="Note 3 12 2 2 2 11" xfId="12761" xr:uid="{00000000-0005-0000-0000-000093310000}"/>
    <cellStyle name="Note 3 12 2 2 2 2" xfId="12762" xr:uid="{00000000-0005-0000-0000-000094310000}"/>
    <cellStyle name="Note 3 12 2 2 2 2 2" xfId="12763" xr:uid="{00000000-0005-0000-0000-000095310000}"/>
    <cellStyle name="Note 3 12 2 2 2 2 2 2" xfId="12764" xr:uid="{00000000-0005-0000-0000-000096310000}"/>
    <cellStyle name="Note 3 12 2 2 2 2 2 3" xfId="12765" xr:uid="{00000000-0005-0000-0000-000097310000}"/>
    <cellStyle name="Note 3 12 2 2 2 2 3" xfId="12766" xr:uid="{00000000-0005-0000-0000-000098310000}"/>
    <cellStyle name="Note 3 12 2 2 2 2 3 2" xfId="12767" xr:uid="{00000000-0005-0000-0000-000099310000}"/>
    <cellStyle name="Note 3 12 2 2 2 2 4" xfId="12768" xr:uid="{00000000-0005-0000-0000-00009A310000}"/>
    <cellStyle name="Note 3 12 2 2 2 2 5" xfId="12769" xr:uid="{00000000-0005-0000-0000-00009B310000}"/>
    <cellStyle name="Note 3 12 2 2 2 2 6" xfId="12770" xr:uid="{00000000-0005-0000-0000-00009C310000}"/>
    <cellStyle name="Note 3 12 2 2 2 2 7" xfId="12771" xr:uid="{00000000-0005-0000-0000-00009D310000}"/>
    <cellStyle name="Note 3 12 2 2 2 2 8" xfId="12772" xr:uid="{00000000-0005-0000-0000-00009E310000}"/>
    <cellStyle name="Note 3 12 2 2 2 3" xfId="12773" xr:uid="{00000000-0005-0000-0000-00009F310000}"/>
    <cellStyle name="Note 3 12 2 2 2 3 2" xfId="12774" xr:uid="{00000000-0005-0000-0000-0000A0310000}"/>
    <cellStyle name="Note 3 12 2 2 2 3 2 2" xfId="12775" xr:uid="{00000000-0005-0000-0000-0000A1310000}"/>
    <cellStyle name="Note 3 12 2 2 2 3 3" xfId="12776" xr:uid="{00000000-0005-0000-0000-0000A2310000}"/>
    <cellStyle name="Note 3 12 2 2 2 3 4" xfId="12777" xr:uid="{00000000-0005-0000-0000-0000A3310000}"/>
    <cellStyle name="Note 3 12 2 2 2 4" xfId="12778" xr:uid="{00000000-0005-0000-0000-0000A4310000}"/>
    <cellStyle name="Note 3 12 2 2 2 4 2" xfId="12779" xr:uid="{00000000-0005-0000-0000-0000A5310000}"/>
    <cellStyle name="Note 3 12 2 2 2 5" xfId="12780" xr:uid="{00000000-0005-0000-0000-0000A6310000}"/>
    <cellStyle name="Note 3 12 2 2 2 5 2" xfId="12781" xr:uid="{00000000-0005-0000-0000-0000A7310000}"/>
    <cellStyle name="Note 3 12 2 2 2 6" xfId="12782" xr:uid="{00000000-0005-0000-0000-0000A8310000}"/>
    <cellStyle name="Note 3 12 2 2 2 6 2" xfId="12783" xr:uid="{00000000-0005-0000-0000-0000A9310000}"/>
    <cellStyle name="Note 3 12 2 2 2 7" xfId="12784" xr:uid="{00000000-0005-0000-0000-0000AA310000}"/>
    <cellStyle name="Note 3 12 2 2 2 8" xfId="12785" xr:uid="{00000000-0005-0000-0000-0000AB310000}"/>
    <cellStyle name="Note 3 12 2 2 2 9" xfId="12786" xr:uid="{00000000-0005-0000-0000-0000AC310000}"/>
    <cellStyle name="Note 3 12 2 2 3" xfId="12787" xr:uid="{00000000-0005-0000-0000-0000AD310000}"/>
    <cellStyle name="Note 3 12 2 2 3 2" xfId="12788" xr:uid="{00000000-0005-0000-0000-0000AE310000}"/>
    <cellStyle name="Note 3 12 2 2 3 2 2" xfId="12789" xr:uid="{00000000-0005-0000-0000-0000AF310000}"/>
    <cellStyle name="Note 3 12 2 2 3 2 3" xfId="12790" xr:uid="{00000000-0005-0000-0000-0000B0310000}"/>
    <cellStyle name="Note 3 12 2 2 3 3" xfId="12791" xr:uid="{00000000-0005-0000-0000-0000B1310000}"/>
    <cellStyle name="Note 3 12 2 2 3 3 2" xfId="12792" xr:uid="{00000000-0005-0000-0000-0000B2310000}"/>
    <cellStyle name="Note 3 12 2 2 3 4" xfId="12793" xr:uid="{00000000-0005-0000-0000-0000B3310000}"/>
    <cellStyle name="Note 3 12 2 2 3 5" xfId="12794" xr:uid="{00000000-0005-0000-0000-0000B4310000}"/>
    <cellStyle name="Note 3 12 2 2 3 6" xfId="12795" xr:uid="{00000000-0005-0000-0000-0000B5310000}"/>
    <cellStyle name="Note 3 12 2 2 3 7" xfId="12796" xr:uid="{00000000-0005-0000-0000-0000B6310000}"/>
    <cellStyle name="Note 3 12 2 2 3 8" xfId="12797" xr:uid="{00000000-0005-0000-0000-0000B7310000}"/>
    <cellStyle name="Note 3 12 2 2 4" xfId="12798" xr:uid="{00000000-0005-0000-0000-0000B8310000}"/>
    <cellStyle name="Note 3 12 2 2 4 2" xfId="12799" xr:uid="{00000000-0005-0000-0000-0000B9310000}"/>
    <cellStyle name="Note 3 12 2 2 4 2 2" xfId="12800" xr:uid="{00000000-0005-0000-0000-0000BA310000}"/>
    <cellStyle name="Note 3 12 2 2 4 3" xfId="12801" xr:uid="{00000000-0005-0000-0000-0000BB310000}"/>
    <cellStyle name="Note 3 12 2 2 4 4" xfId="12802" xr:uid="{00000000-0005-0000-0000-0000BC310000}"/>
    <cellStyle name="Note 3 12 2 2 5" xfId="12803" xr:uid="{00000000-0005-0000-0000-0000BD310000}"/>
    <cellStyle name="Note 3 12 2 2 5 2" xfId="12804" xr:uid="{00000000-0005-0000-0000-0000BE310000}"/>
    <cellStyle name="Note 3 12 2 2 6" xfId="12805" xr:uid="{00000000-0005-0000-0000-0000BF310000}"/>
    <cellStyle name="Note 3 12 2 2 6 2" xfId="12806" xr:uid="{00000000-0005-0000-0000-0000C0310000}"/>
    <cellStyle name="Note 3 12 2 2 7" xfId="12807" xr:uid="{00000000-0005-0000-0000-0000C1310000}"/>
    <cellStyle name="Note 3 12 2 2 7 2" xfId="12808" xr:uid="{00000000-0005-0000-0000-0000C2310000}"/>
    <cellStyle name="Note 3 12 2 2 8" xfId="12809" xr:uid="{00000000-0005-0000-0000-0000C3310000}"/>
    <cellStyle name="Note 3 12 2 2 9" xfId="12810" xr:uid="{00000000-0005-0000-0000-0000C4310000}"/>
    <cellStyle name="Note 3 12 2 3" xfId="12811" xr:uid="{00000000-0005-0000-0000-0000C5310000}"/>
    <cellStyle name="Note 3 12 2 3 10" xfId="12812" xr:uid="{00000000-0005-0000-0000-0000C6310000}"/>
    <cellStyle name="Note 3 12 2 3 11" xfId="12813" xr:uid="{00000000-0005-0000-0000-0000C7310000}"/>
    <cellStyle name="Note 3 12 2 3 2" xfId="12814" xr:uid="{00000000-0005-0000-0000-0000C8310000}"/>
    <cellStyle name="Note 3 12 2 3 2 2" xfId="12815" xr:uid="{00000000-0005-0000-0000-0000C9310000}"/>
    <cellStyle name="Note 3 12 2 3 2 2 2" xfId="12816" xr:uid="{00000000-0005-0000-0000-0000CA310000}"/>
    <cellStyle name="Note 3 12 2 3 2 2 3" xfId="12817" xr:uid="{00000000-0005-0000-0000-0000CB310000}"/>
    <cellStyle name="Note 3 12 2 3 2 3" xfId="12818" xr:uid="{00000000-0005-0000-0000-0000CC310000}"/>
    <cellStyle name="Note 3 12 2 3 2 3 2" xfId="12819" xr:uid="{00000000-0005-0000-0000-0000CD310000}"/>
    <cellStyle name="Note 3 12 2 3 2 4" xfId="12820" xr:uid="{00000000-0005-0000-0000-0000CE310000}"/>
    <cellStyle name="Note 3 12 2 3 2 5" xfId="12821" xr:uid="{00000000-0005-0000-0000-0000CF310000}"/>
    <cellStyle name="Note 3 12 2 3 2 6" xfId="12822" xr:uid="{00000000-0005-0000-0000-0000D0310000}"/>
    <cellStyle name="Note 3 12 2 3 2 7" xfId="12823" xr:uid="{00000000-0005-0000-0000-0000D1310000}"/>
    <cellStyle name="Note 3 12 2 3 2 8" xfId="12824" xr:uid="{00000000-0005-0000-0000-0000D2310000}"/>
    <cellStyle name="Note 3 12 2 3 3" xfId="12825" xr:uid="{00000000-0005-0000-0000-0000D3310000}"/>
    <cellStyle name="Note 3 12 2 3 3 2" xfId="12826" xr:uid="{00000000-0005-0000-0000-0000D4310000}"/>
    <cellStyle name="Note 3 12 2 3 3 2 2" xfId="12827" xr:uid="{00000000-0005-0000-0000-0000D5310000}"/>
    <cellStyle name="Note 3 12 2 3 3 3" xfId="12828" xr:uid="{00000000-0005-0000-0000-0000D6310000}"/>
    <cellStyle name="Note 3 12 2 3 3 4" xfId="12829" xr:uid="{00000000-0005-0000-0000-0000D7310000}"/>
    <cellStyle name="Note 3 12 2 3 4" xfId="12830" xr:uid="{00000000-0005-0000-0000-0000D8310000}"/>
    <cellStyle name="Note 3 12 2 3 4 2" xfId="12831" xr:uid="{00000000-0005-0000-0000-0000D9310000}"/>
    <cellStyle name="Note 3 12 2 3 5" xfId="12832" xr:uid="{00000000-0005-0000-0000-0000DA310000}"/>
    <cellStyle name="Note 3 12 2 3 5 2" xfId="12833" xr:uid="{00000000-0005-0000-0000-0000DB310000}"/>
    <cellStyle name="Note 3 12 2 3 6" xfId="12834" xr:uid="{00000000-0005-0000-0000-0000DC310000}"/>
    <cellStyle name="Note 3 12 2 3 6 2" xfId="12835" xr:uid="{00000000-0005-0000-0000-0000DD310000}"/>
    <cellStyle name="Note 3 12 2 3 7" xfId="12836" xr:uid="{00000000-0005-0000-0000-0000DE310000}"/>
    <cellStyle name="Note 3 12 2 3 8" xfId="12837" xr:uid="{00000000-0005-0000-0000-0000DF310000}"/>
    <cellStyle name="Note 3 12 2 3 9" xfId="12838" xr:uid="{00000000-0005-0000-0000-0000E0310000}"/>
    <cellStyle name="Note 3 12 2 4" xfId="12839" xr:uid="{00000000-0005-0000-0000-0000E1310000}"/>
    <cellStyle name="Note 3 12 2 4 2" xfId="12840" xr:uid="{00000000-0005-0000-0000-0000E2310000}"/>
    <cellStyle name="Note 3 12 2 4 2 2" xfId="12841" xr:uid="{00000000-0005-0000-0000-0000E3310000}"/>
    <cellStyle name="Note 3 12 2 4 2 3" xfId="12842" xr:uid="{00000000-0005-0000-0000-0000E4310000}"/>
    <cellStyle name="Note 3 12 2 4 3" xfId="12843" xr:uid="{00000000-0005-0000-0000-0000E5310000}"/>
    <cellStyle name="Note 3 12 2 4 3 2" xfId="12844" xr:uid="{00000000-0005-0000-0000-0000E6310000}"/>
    <cellStyle name="Note 3 12 2 4 4" xfId="12845" xr:uid="{00000000-0005-0000-0000-0000E7310000}"/>
    <cellStyle name="Note 3 12 2 4 5" xfId="12846" xr:uid="{00000000-0005-0000-0000-0000E8310000}"/>
    <cellStyle name="Note 3 12 2 4 6" xfId="12847" xr:uid="{00000000-0005-0000-0000-0000E9310000}"/>
    <cellStyle name="Note 3 12 2 4 7" xfId="12848" xr:uid="{00000000-0005-0000-0000-0000EA310000}"/>
    <cellStyle name="Note 3 12 2 4 8" xfId="12849" xr:uid="{00000000-0005-0000-0000-0000EB310000}"/>
    <cellStyle name="Note 3 12 2 5" xfId="12850" xr:uid="{00000000-0005-0000-0000-0000EC310000}"/>
    <cellStyle name="Note 3 12 2 5 2" xfId="12851" xr:uid="{00000000-0005-0000-0000-0000ED310000}"/>
    <cellStyle name="Note 3 12 2 5 2 2" xfId="12852" xr:uid="{00000000-0005-0000-0000-0000EE310000}"/>
    <cellStyle name="Note 3 12 2 5 3" xfId="12853" xr:uid="{00000000-0005-0000-0000-0000EF310000}"/>
    <cellStyle name="Note 3 12 2 5 4" xfId="12854" xr:uid="{00000000-0005-0000-0000-0000F0310000}"/>
    <cellStyle name="Note 3 12 2 6" xfId="12855" xr:uid="{00000000-0005-0000-0000-0000F1310000}"/>
    <cellStyle name="Note 3 12 2 6 2" xfId="12856" xr:uid="{00000000-0005-0000-0000-0000F2310000}"/>
    <cellStyle name="Note 3 12 2 7" xfId="12857" xr:uid="{00000000-0005-0000-0000-0000F3310000}"/>
    <cellStyle name="Note 3 12 2 7 2" xfId="12858" xr:uid="{00000000-0005-0000-0000-0000F4310000}"/>
    <cellStyle name="Note 3 12 2 8" xfId="12859" xr:uid="{00000000-0005-0000-0000-0000F5310000}"/>
    <cellStyle name="Note 3 12 2 8 2" xfId="12860" xr:uid="{00000000-0005-0000-0000-0000F6310000}"/>
    <cellStyle name="Note 3 12 2 9" xfId="12861" xr:uid="{00000000-0005-0000-0000-0000F7310000}"/>
    <cellStyle name="Note 3 12 3" xfId="12862" xr:uid="{00000000-0005-0000-0000-0000F8310000}"/>
    <cellStyle name="Note 3 12 3 10" xfId="12863" xr:uid="{00000000-0005-0000-0000-0000F9310000}"/>
    <cellStyle name="Note 3 12 3 11" xfId="12864" xr:uid="{00000000-0005-0000-0000-0000FA310000}"/>
    <cellStyle name="Note 3 12 3 12" xfId="12865" xr:uid="{00000000-0005-0000-0000-0000FB310000}"/>
    <cellStyle name="Note 3 12 3 2" xfId="12866" xr:uid="{00000000-0005-0000-0000-0000FC310000}"/>
    <cellStyle name="Note 3 12 3 2 10" xfId="12867" xr:uid="{00000000-0005-0000-0000-0000FD310000}"/>
    <cellStyle name="Note 3 12 3 2 11" xfId="12868" xr:uid="{00000000-0005-0000-0000-0000FE310000}"/>
    <cellStyle name="Note 3 12 3 2 2" xfId="12869" xr:uid="{00000000-0005-0000-0000-0000FF310000}"/>
    <cellStyle name="Note 3 12 3 2 2 2" xfId="12870" xr:uid="{00000000-0005-0000-0000-000000320000}"/>
    <cellStyle name="Note 3 12 3 2 2 2 2" xfId="12871" xr:uid="{00000000-0005-0000-0000-000001320000}"/>
    <cellStyle name="Note 3 12 3 2 2 2 3" xfId="12872" xr:uid="{00000000-0005-0000-0000-000002320000}"/>
    <cellStyle name="Note 3 12 3 2 2 3" xfId="12873" xr:uid="{00000000-0005-0000-0000-000003320000}"/>
    <cellStyle name="Note 3 12 3 2 2 3 2" xfId="12874" xr:uid="{00000000-0005-0000-0000-000004320000}"/>
    <cellStyle name="Note 3 12 3 2 2 4" xfId="12875" xr:uid="{00000000-0005-0000-0000-000005320000}"/>
    <cellStyle name="Note 3 12 3 2 2 5" xfId="12876" xr:uid="{00000000-0005-0000-0000-000006320000}"/>
    <cellStyle name="Note 3 12 3 2 2 6" xfId="12877" xr:uid="{00000000-0005-0000-0000-000007320000}"/>
    <cellStyle name="Note 3 12 3 2 2 7" xfId="12878" xr:uid="{00000000-0005-0000-0000-000008320000}"/>
    <cellStyle name="Note 3 12 3 2 2 8" xfId="12879" xr:uid="{00000000-0005-0000-0000-000009320000}"/>
    <cellStyle name="Note 3 12 3 2 3" xfId="12880" xr:uid="{00000000-0005-0000-0000-00000A320000}"/>
    <cellStyle name="Note 3 12 3 2 3 2" xfId="12881" xr:uid="{00000000-0005-0000-0000-00000B320000}"/>
    <cellStyle name="Note 3 12 3 2 3 2 2" xfId="12882" xr:uid="{00000000-0005-0000-0000-00000C320000}"/>
    <cellStyle name="Note 3 12 3 2 3 3" xfId="12883" xr:uid="{00000000-0005-0000-0000-00000D320000}"/>
    <cellStyle name="Note 3 12 3 2 3 4" xfId="12884" xr:uid="{00000000-0005-0000-0000-00000E320000}"/>
    <cellStyle name="Note 3 12 3 2 4" xfId="12885" xr:uid="{00000000-0005-0000-0000-00000F320000}"/>
    <cellStyle name="Note 3 12 3 2 4 2" xfId="12886" xr:uid="{00000000-0005-0000-0000-000010320000}"/>
    <cellStyle name="Note 3 12 3 2 5" xfId="12887" xr:uid="{00000000-0005-0000-0000-000011320000}"/>
    <cellStyle name="Note 3 12 3 2 5 2" xfId="12888" xr:uid="{00000000-0005-0000-0000-000012320000}"/>
    <cellStyle name="Note 3 12 3 2 6" xfId="12889" xr:uid="{00000000-0005-0000-0000-000013320000}"/>
    <cellStyle name="Note 3 12 3 2 6 2" xfId="12890" xr:uid="{00000000-0005-0000-0000-000014320000}"/>
    <cellStyle name="Note 3 12 3 2 7" xfId="12891" xr:uid="{00000000-0005-0000-0000-000015320000}"/>
    <cellStyle name="Note 3 12 3 2 8" xfId="12892" xr:uid="{00000000-0005-0000-0000-000016320000}"/>
    <cellStyle name="Note 3 12 3 2 9" xfId="12893" xr:uid="{00000000-0005-0000-0000-000017320000}"/>
    <cellStyle name="Note 3 12 3 3" xfId="12894" xr:uid="{00000000-0005-0000-0000-000018320000}"/>
    <cellStyle name="Note 3 12 3 3 2" xfId="12895" xr:uid="{00000000-0005-0000-0000-000019320000}"/>
    <cellStyle name="Note 3 12 3 3 2 2" xfId="12896" xr:uid="{00000000-0005-0000-0000-00001A320000}"/>
    <cellStyle name="Note 3 12 3 3 2 3" xfId="12897" xr:uid="{00000000-0005-0000-0000-00001B320000}"/>
    <cellStyle name="Note 3 12 3 3 3" xfId="12898" xr:uid="{00000000-0005-0000-0000-00001C320000}"/>
    <cellStyle name="Note 3 12 3 3 3 2" xfId="12899" xr:uid="{00000000-0005-0000-0000-00001D320000}"/>
    <cellStyle name="Note 3 12 3 3 4" xfId="12900" xr:uid="{00000000-0005-0000-0000-00001E320000}"/>
    <cellStyle name="Note 3 12 3 3 5" xfId="12901" xr:uid="{00000000-0005-0000-0000-00001F320000}"/>
    <cellStyle name="Note 3 12 3 3 6" xfId="12902" xr:uid="{00000000-0005-0000-0000-000020320000}"/>
    <cellStyle name="Note 3 12 3 3 7" xfId="12903" xr:uid="{00000000-0005-0000-0000-000021320000}"/>
    <cellStyle name="Note 3 12 3 3 8" xfId="12904" xr:uid="{00000000-0005-0000-0000-000022320000}"/>
    <cellStyle name="Note 3 12 3 4" xfId="12905" xr:uid="{00000000-0005-0000-0000-000023320000}"/>
    <cellStyle name="Note 3 12 3 4 2" xfId="12906" xr:uid="{00000000-0005-0000-0000-000024320000}"/>
    <cellStyle name="Note 3 12 3 4 2 2" xfId="12907" xr:uid="{00000000-0005-0000-0000-000025320000}"/>
    <cellStyle name="Note 3 12 3 4 3" xfId="12908" xr:uid="{00000000-0005-0000-0000-000026320000}"/>
    <cellStyle name="Note 3 12 3 4 4" xfId="12909" xr:uid="{00000000-0005-0000-0000-000027320000}"/>
    <cellStyle name="Note 3 12 3 5" xfId="12910" xr:uid="{00000000-0005-0000-0000-000028320000}"/>
    <cellStyle name="Note 3 12 3 5 2" xfId="12911" xr:uid="{00000000-0005-0000-0000-000029320000}"/>
    <cellStyle name="Note 3 12 3 6" xfId="12912" xr:uid="{00000000-0005-0000-0000-00002A320000}"/>
    <cellStyle name="Note 3 12 3 6 2" xfId="12913" xr:uid="{00000000-0005-0000-0000-00002B320000}"/>
    <cellStyle name="Note 3 12 3 7" xfId="12914" xr:uid="{00000000-0005-0000-0000-00002C320000}"/>
    <cellStyle name="Note 3 12 3 7 2" xfId="12915" xr:uid="{00000000-0005-0000-0000-00002D320000}"/>
    <cellStyle name="Note 3 12 3 8" xfId="12916" xr:uid="{00000000-0005-0000-0000-00002E320000}"/>
    <cellStyle name="Note 3 12 3 9" xfId="12917" xr:uid="{00000000-0005-0000-0000-00002F320000}"/>
    <cellStyle name="Note 3 12 4" xfId="12918" xr:uid="{00000000-0005-0000-0000-000030320000}"/>
    <cellStyle name="Note 3 12 4 10" xfId="12919" xr:uid="{00000000-0005-0000-0000-000031320000}"/>
    <cellStyle name="Note 3 12 4 11" xfId="12920" xr:uid="{00000000-0005-0000-0000-000032320000}"/>
    <cellStyle name="Note 3 12 4 2" xfId="12921" xr:uid="{00000000-0005-0000-0000-000033320000}"/>
    <cellStyle name="Note 3 12 4 2 2" xfId="12922" xr:uid="{00000000-0005-0000-0000-000034320000}"/>
    <cellStyle name="Note 3 12 4 2 2 2" xfId="12923" xr:uid="{00000000-0005-0000-0000-000035320000}"/>
    <cellStyle name="Note 3 12 4 2 2 3" xfId="12924" xr:uid="{00000000-0005-0000-0000-000036320000}"/>
    <cellStyle name="Note 3 12 4 2 3" xfId="12925" xr:uid="{00000000-0005-0000-0000-000037320000}"/>
    <cellStyle name="Note 3 12 4 2 3 2" xfId="12926" xr:uid="{00000000-0005-0000-0000-000038320000}"/>
    <cellStyle name="Note 3 12 4 2 4" xfId="12927" xr:uid="{00000000-0005-0000-0000-000039320000}"/>
    <cellStyle name="Note 3 12 4 2 5" xfId="12928" xr:uid="{00000000-0005-0000-0000-00003A320000}"/>
    <cellStyle name="Note 3 12 4 2 6" xfId="12929" xr:uid="{00000000-0005-0000-0000-00003B320000}"/>
    <cellStyle name="Note 3 12 4 2 7" xfId="12930" xr:uid="{00000000-0005-0000-0000-00003C320000}"/>
    <cellStyle name="Note 3 12 4 2 8" xfId="12931" xr:uid="{00000000-0005-0000-0000-00003D320000}"/>
    <cellStyle name="Note 3 12 4 3" xfId="12932" xr:uid="{00000000-0005-0000-0000-00003E320000}"/>
    <cellStyle name="Note 3 12 4 3 2" xfId="12933" xr:uid="{00000000-0005-0000-0000-00003F320000}"/>
    <cellStyle name="Note 3 12 4 3 2 2" xfId="12934" xr:uid="{00000000-0005-0000-0000-000040320000}"/>
    <cellStyle name="Note 3 12 4 3 3" xfId="12935" xr:uid="{00000000-0005-0000-0000-000041320000}"/>
    <cellStyle name="Note 3 12 4 3 4" xfId="12936" xr:uid="{00000000-0005-0000-0000-000042320000}"/>
    <cellStyle name="Note 3 12 4 4" xfId="12937" xr:uid="{00000000-0005-0000-0000-000043320000}"/>
    <cellStyle name="Note 3 12 4 4 2" xfId="12938" xr:uid="{00000000-0005-0000-0000-000044320000}"/>
    <cellStyle name="Note 3 12 4 5" xfId="12939" xr:uid="{00000000-0005-0000-0000-000045320000}"/>
    <cellStyle name="Note 3 12 4 5 2" xfId="12940" xr:uid="{00000000-0005-0000-0000-000046320000}"/>
    <cellStyle name="Note 3 12 4 6" xfId="12941" xr:uid="{00000000-0005-0000-0000-000047320000}"/>
    <cellStyle name="Note 3 12 4 6 2" xfId="12942" xr:uid="{00000000-0005-0000-0000-000048320000}"/>
    <cellStyle name="Note 3 12 4 7" xfId="12943" xr:uid="{00000000-0005-0000-0000-000049320000}"/>
    <cellStyle name="Note 3 12 4 8" xfId="12944" xr:uid="{00000000-0005-0000-0000-00004A320000}"/>
    <cellStyle name="Note 3 12 4 9" xfId="12945" xr:uid="{00000000-0005-0000-0000-00004B320000}"/>
    <cellStyle name="Note 3 12 5" xfId="12946" xr:uid="{00000000-0005-0000-0000-00004C320000}"/>
    <cellStyle name="Note 3 12 5 2" xfId="12947" xr:uid="{00000000-0005-0000-0000-00004D320000}"/>
    <cellStyle name="Note 3 12 5 2 2" xfId="12948" xr:uid="{00000000-0005-0000-0000-00004E320000}"/>
    <cellStyle name="Note 3 12 5 2 3" xfId="12949" xr:uid="{00000000-0005-0000-0000-00004F320000}"/>
    <cellStyle name="Note 3 12 5 3" xfId="12950" xr:uid="{00000000-0005-0000-0000-000050320000}"/>
    <cellStyle name="Note 3 12 5 3 2" xfId="12951" xr:uid="{00000000-0005-0000-0000-000051320000}"/>
    <cellStyle name="Note 3 12 5 4" xfId="12952" xr:uid="{00000000-0005-0000-0000-000052320000}"/>
    <cellStyle name="Note 3 12 5 5" xfId="12953" xr:uid="{00000000-0005-0000-0000-000053320000}"/>
    <cellStyle name="Note 3 12 5 6" xfId="12954" xr:uid="{00000000-0005-0000-0000-000054320000}"/>
    <cellStyle name="Note 3 12 5 7" xfId="12955" xr:uid="{00000000-0005-0000-0000-000055320000}"/>
    <cellStyle name="Note 3 12 5 8" xfId="12956" xr:uid="{00000000-0005-0000-0000-000056320000}"/>
    <cellStyle name="Note 3 12 6" xfId="12957" xr:uid="{00000000-0005-0000-0000-000057320000}"/>
    <cellStyle name="Note 3 12 6 2" xfId="12958" xr:uid="{00000000-0005-0000-0000-000058320000}"/>
    <cellStyle name="Note 3 12 6 2 2" xfId="12959" xr:uid="{00000000-0005-0000-0000-000059320000}"/>
    <cellStyle name="Note 3 12 6 3" xfId="12960" xr:uid="{00000000-0005-0000-0000-00005A320000}"/>
    <cellStyle name="Note 3 12 6 4" xfId="12961" xr:uid="{00000000-0005-0000-0000-00005B320000}"/>
    <cellStyle name="Note 3 12 7" xfId="12962" xr:uid="{00000000-0005-0000-0000-00005C320000}"/>
    <cellStyle name="Note 3 12 7 2" xfId="12963" xr:uid="{00000000-0005-0000-0000-00005D320000}"/>
    <cellStyle name="Note 3 12 8" xfId="12964" xr:uid="{00000000-0005-0000-0000-00005E320000}"/>
    <cellStyle name="Note 3 12 8 2" xfId="12965" xr:uid="{00000000-0005-0000-0000-00005F320000}"/>
    <cellStyle name="Note 3 12 9" xfId="12966" xr:uid="{00000000-0005-0000-0000-000060320000}"/>
    <cellStyle name="Note 3 12 9 2" xfId="12967" xr:uid="{00000000-0005-0000-0000-000061320000}"/>
    <cellStyle name="Note 3 13" xfId="12968" xr:uid="{00000000-0005-0000-0000-000062320000}"/>
    <cellStyle name="Note 3 14" xfId="12969" xr:uid="{00000000-0005-0000-0000-000063320000}"/>
    <cellStyle name="Note 3 15" xfId="12970" xr:uid="{00000000-0005-0000-0000-000064320000}"/>
    <cellStyle name="Note 3 15 10" xfId="12971" xr:uid="{00000000-0005-0000-0000-000065320000}"/>
    <cellStyle name="Note 3 15 11" xfId="12972" xr:uid="{00000000-0005-0000-0000-000066320000}"/>
    <cellStyle name="Note 3 15 12" xfId="12973" xr:uid="{00000000-0005-0000-0000-000067320000}"/>
    <cellStyle name="Note 3 15 13" xfId="12974" xr:uid="{00000000-0005-0000-0000-000068320000}"/>
    <cellStyle name="Note 3 15 2" xfId="12975" xr:uid="{00000000-0005-0000-0000-000069320000}"/>
    <cellStyle name="Note 3 15 2 10" xfId="12976" xr:uid="{00000000-0005-0000-0000-00006A320000}"/>
    <cellStyle name="Note 3 15 2 11" xfId="12977" xr:uid="{00000000-0005-0000-0000-00006B320000}"/>
    <cellStyle name="Note 3 15 2 12" xfId="12978" xr:uid="{00000000-0005-0000-0000-00006C320000}"/>
    <cellStyle name="Note 3 15 2 2" xfId="12979" xr:uid="{00000000-0005-0000-0000-00006D320000}"/>
    <cellStyle name="Note 3 15 2 2 10" xfId="12980" xr:uid="{00000000-0005-0000-0000-00006E320000}"/>
    <cellStyle name="Note 3 15 2 2 11" xfId="12981" xr:uid="{00000000-0005-0000-0000-00006F320000}"/>
    <cellStyle name="Note 3 15 2 2 2" xfId="12982" xr:uid="{00000000-0005-0000-0000-000070320000}"/>
    <cellStyle name="Note 3 15 2 2 2 2" xfId="12983" xr:uid="{00000000-0005-0000-0000-000071320000}"/>
    <cellStyle name="Note 3 15 2 2 2 2 2" xfId="12984" xr:uid="{00000000-0005-0000-0000-000072320000}"/>
    <cellStyle name="Note 3 15 2 2 2 2 3" xfId="12985" xr:uid="{00000000-0005-0000-0000-000073320000}"/>
    <cellStyle name="Note 3 15 2 2 2 3" xfId="12986" xr:uid="{00000000-0005-0000-0000-000074320000}"/>
    <cellStyle name="Note 3 15 2 2 2 3 2" xfId="12987" xr:uid="{00000000-0005-0000-0000-000075320000}"/>
    <cellStyle name="Note 3 15 2 2 2 4" xfId="12988" xr:uid="{00000000-0005-0000-0000-000076320000}"/>
    <cellStyle name="Note 3 15 2 2 2 5" xfId="12989" xr:uid="{00000000-0005-0000-0000-000077320000}"/>
    <cellStyle name="Note 3 15 2 2 2 6" xfId="12990" xr:uid="{00000000-0005-0000-0000-000078320000}"/>
    <cellStyle name="Note 3 15 2 2 2 7" xfId="12991" xr:uid="{00000000-0005-0000-0000-000079320000}"/>
    <cellStyle name="Note 3 15 2 2 2 8" xfId="12992" xr:uid="{00000000-0005-0000-0000-00007A320000}"/>
    <cellStyle name="Note 3 15 2 2 3" xfId="12993" xr:uid="{00000000-0005-0000-0000-00007B320000}"/>
    <cellStyle name="Note 3 15 2 2 3 2" xfId="12994" xr:uid="{00000000-0005-0000-0000-00007C320000}"/>
    <cellStyle name="Note 3 15 2 2 3 2 2" xfId="12995" xr:uid="{00000000-0005-0000-0000-00007D320000}"/>
    <cellStyle name="Note 3 15 2 2 3 3" xfId="12996" xr:uid="{00000000-0005-0000-0000-00007E320000}"/>
    <cellStyle name="Note 3 15 2 2 3 4" xfId="12997" xr:uid="{00000000-0005-0000-0000-00007F320000}"/>
    <cellStyle name="Note 3 15 2 2 4" xfId="12998" xr:uid="{00000000-0005-0000-0000-000080320000}"/>
    <cellStyle name="Note 3 15 2 2 4 2" xfId="12999" xr:uid="{00000000-0005-0000-0000-000081320000}"/>
    <cellStyle name="Note 3 15 2 2 5" xfId="13000" xr:uid="{00000000-0005-0000-0000-000082320000}"/>
    <cellStyle name="Note 3 15 2 2 5 2" xfId="13001" xr:uid="{00000000-0005-0000-0000-000083320000}"/>
    <cellStyle name="Note 3 15 2 2 6" xfId="13002" xr:uid="{00000000-0005-0000-0000-000084320000}"/>
    <cellStyle name="Note 3 15 2 2 6 2" xfId="13003" xr:uid="{00000000-0005-0000-0000-000085320000}"/>
    <cellStyle name="Note 3 15 2 2 7" xfId="13004" xr:uid="{00000000-0005-0000-0000-000086320000}"/>
    <cellStyle name="Note 3 15 2 2 8" xfId="13005" xr:uid="{00000000-0005-0000-0000-000087320000}"/>
    <cellStyle name="Note 3 15 2 2 9" xfId="13006" xr:uid="{00000000-0005-0000-0000-000088320000}"/>
    <cellStyle name="Note 3 15 2 3" xfId="13007" xr:uid="{00000000-0005-0000-0000-000089320000}"/>
    <cellStyle name="Note 3 15 2 3 2" xfId="13008" xr:uid="{00000000-0005-0000-0000-00008A320000}"/>
    <cellStyle name="Note 3 15 2 3 2 2" xfId="13009" xr:uid="{00000000-0005-0000-0000-00008B320000}"/>
    <cellStyle name="Note 3 15 2 3 2 3" xfId="13010" xr:uid="{00000000-0005-0000-0000-00008C320000}"/>
    <cellStyle name="Note 3 15 2 3 3" xfId="13011" xr:uid="{00000000-0005-0000-0000-00008D320000}"/>
    <cellStyle name="Note 3 15 2 3 3 2" xfId="13012" xr:uid="{00000000-0005-0000-0000-00008E320000}"/>
    <cellStyle name="Note 3 15 2 3 4" xfId="13013" xr:uid="{00000000-0005-0000-0000-00008F320000}"/>
    <cellStyle name="Note 3 15 2 3 5" xfId="13014" xr:uid="{00000000-0005-0000-0000-000090320000}"/>
    <cellStyle name="Note 3 15 2 3 6" xfId="13015" xr:uid="{00000000-0005-0000-0000-000091320000}"/>
    <cellStyle name="Note 3 15 2 3 7" xfId="13016" xr:uid="{00000000-0005-0000-0000-000092320000}"/>
    <cellStyle name="Note 3 15 2 3 8" xfId="13017" xr:uid="{00000000-0005-0000-0000-000093320000}"/>
    <cellStyle name="Note 3 15 2 4" xfId="13018" xr:uid="{00000000-0005-0000-0000-000094320000}"/>
    <cellStyle name="Note 3 15 2 4 2" xfId="13019" xr:uid="{00000000-0005-0000-0000-000095320000}"/>
    <cellStyle name="Note 3 15 2 4 2 2" xfId="13020" xr:uid="{00000000-0005-0000-0000-000096320000}"/>
    <cellStyle name="Note 3 15 2 4 3" xfId="13021" xr:uid="{00000000-0005-0000-0000-000097320000}"/>
    <cellStyle name="Note 3 15 2 4 4" xfId="13022" xr:uid="{00000000-0005-0000-0000-000098320000}"/>
    <cellStyle name="Note 3 15 2 5" xfId="13023" xr:uid="{00000000-0005-0000-0000-000099320000}"/>
    <cellStyle name="Note 3 15 2 5 2" xfId="13024" xr:uid="{00000000-0005-0000-0000-00009A320000}"/>
    <cellStyle name="Note 3 15 2 6" xfId="13025" xr:uid="{00000000-0005-0000-0000-00009B320000}"/>
    <cellStyle name="Note 3 15 2 6 2" xfId="13026" xr:uid="{00000000-0005-0000-0000-00009C320000}"/>
    <cellStyle name="Note 3 15 2 7" xfId="13027" xr:uid="{00000000-0005-0000-0000-00009D320000}"/>
    <cellStyle name="Note 3 15 2 7 2" xfId="13028" xr:uid="{00000000-0005-0000-0000-00009E320000}"/>
    <cellStyle name="Note 3 15 2 8" xfId="13029" xr:uid="{00000000-0005-0000-0000-00009F320000}"/>
    <cellStyle name="Note 3 15 2 9" xfId="13030" xr:uid="{00000000-0005-0000-0000-0000A0320000}"/>
    <cellStyle name="Note 3 15 3" xfId="13031" xr:uid="{00000000-0005-0000-0000-0000A1320000}"/>
    <cellStyle name="Note 3 15 3 10" xfId="13032" xr:uid="{00000000-0005-0000-0000-0000A2320000}"/>
    <cellStyle name="Note 3 15 3 11" xfId="13033" xr:uid="{00000000-0005-0000-0000-0000A3320000}"/>
    <cellStyle name="Note 3 15 3 2" xfId="13034" xr:uid="{00000000-0005-0000-0000-0000A4320000}"/>
    <cellStyle name="Note 3 15 3 2 2" xfId="13035" xr:uid="{00000000-0005-0000-0000-0000A5320000}"/>
    <cellStyle name="Note 3 15 3 2 2 2" xfId="13036" xr:uid="{00000000-0005-0000-0000-0000A6320000}"/>
    <cellStyle name="Note 3 15 3 2 2 3" xfId="13037" xr:uid="{00000000-0005-0000-0000-0000A7320000}"/>
    <cellStyle name="Note 3 15 3 2 3" xfId="13038" xr:uid="{00000000-0005-0000-0000-0000A8320000}"/>
    <cellStyle name="Note 3 15 3 2 3 2" xfId="13039" xr:uid="{00000000-0005-0000-0000-0000A9320000}"/>
    <cellStyle name="Note 3 15 3 2 4" xfId="13040" xr:uid="{00000000-0005-0000-0000-0000AA320000}"/>
    <cellStyle name="Note 3 15 3 2 5" xfId="13041" xr:uid="{00000000-0005-0000-0000-0000AB320000}"/>
    <cellStyle name="Note 3 15 3 2 6" xfId="13042" xr:uid="{00000000-0005-0000-0000-0000AC320000}"/>
    <cellStyle name="Note 3 15 3 2 7" xfId="13043" xr:uid="{00000000-0005-0000-0000-0000AD320000}"/>
    <cellStyle name="Note 3 15 3 2 8" xfId="13044" xr:uid="{00000000-0005-0000-0000-0000AE320000}"/>
    <cellStyle name="Note 3 15 3 3" xfId="13045" xr:uid="{00000000-0005-0000-0000-0000AF320000}"/>
    <cellStyle name="Note 3 15 3 3 2" xfId="13046" xr:uid="{00000000-0005-0000-0000-0000B0320000}"/>
    <cellStyle name="Note 3 15 3 3 2 2" xfId="13047" xr:uid="{00000000-0005-0000-0000-0000B1320000}"/>
    <cellStyle name="Note 3 15 3 3 3" xfId="13048" xr:uid="{00000000-0005-0000-0000-0000B2320000}"/>
    <cellStyle name="Note 3 15 3 3 4" xfId="13049" xr:uid="{00000000-0005-0000-0000-0000B3320000}"/>
    <cellStyle name="Note 3 15 3 4" xfId="13050" xr:uid="{00000000-0005-0000-0000-0000B4320000}"/>
    <cellStyle name="Note 3 15 3 4 2" xfId="13051" xr:uid="{00000000-0005-0000-0000-0000B5320000}"/>
    <cellStyle name="Note 3 15 3 5" xfId="13052" xr:uid="{00000000-0005-0000-0000-0000B6320000}"/>
    <cellStyle name="Note 3 15 3 5 2" xfId="13053" xr:uid="{00000000-0005-0000-0000-0000B7320000}"/>
    <cellStyle name="Note 3 15 3 6" xfId="13054" xr:uid="{00000000-0005-0000-0000-0000B8320000}"/>
    <cellStyle name="Note 3 15 3 6 2" xfId="13055" xr:uid="{00000000-0005-0000-0000-0000B9320000}"/>
    <cellStyle name="Note 3 15 3 7" xfId="13056" xr:uid="{00000000-0005-0000-0000-0000BA320000}"/>
    <cellStyle name="Note 3 15 3 8" xfId="13057" xr:uid="{00000000-0005-0000-0000-0000BB320000}"/>
    <cellStyle name="Note 3 15 3 9" xfId="13058" xr:uid="{00000000-0005-0000-0000-0000BC320000}"/>
    <cellStyle name="Note 3 15 4" xfId="13059" xr:uid="{00000000-0005-0000-0000-0000BD320000}"/>
    <cellStyle name="Note 3 15 4 2" xfId="13060" xr:uid="{00000000-0005-0000-0000-0000BE320000}"/>
    <cellStyle name="Note 3 15 4 2 2" xfId="13061" xr:uid="{00000000-0005-0000-0000-0000BF320000}"/>
    <cellStyle name="Note 3 15 4 2 3" xfId="13062" xr:uid="{00000000-0005-0000-0000-0000C0320000}"/>
    <cellStyle name="Note 3 15 4 3" xfId="13063" xr:uid="{00000000-0005-0000-0000-0000C1320000}"/>
    <cellStyle name="Note 3 15 4 3 2" xfId="13064" xr:uid="{00000000-0005-0000-0000-0000C2320000}"/>
    <cellStyle name="Note 3 15 4 4" xfId="13065" xr:uid="{00000000-0005-0000-0000-0000C3320000}"/>
    <cellStyle name="Note 3 15 4 5" xfId="13066" xr:uid="{00000000-0005-0000-0000-0000C4320000}"/>
    <cellStyle name="Note 3 15 4 6" xfId="13067" xr:uid="{00000000-0005-0000-0000-0000C5320000}"/>
    <cellStyle name="Note 3 15 4 7" xfId="13068" xr:uid="{00000000-0005-0000-0000-0000C6320000}"/>
    <cellStyle name="Note 3 15 4 8" xfId="13069" xr:uid="{00000000-0005-0000-0000-0000C7320000}"/>
    <cellStyle name="Note 3 15 5" xfId="13070" xr:uid="{00000000-0005-0000-0000-0000C8320000}"/>
    <cellStyle name="Note 3 15 5 2" xfId="13071" xr:uid="{00000000-0005-0000-0000-0000C9320000}"/>
    <cellStyle name="Note 3 15 5 2 2" xfId="13072" xr:uid="{00000000-0005-0000-0000-0000CA320000}"/>
    <cellStyle name="Note 3 15 5 3" xfId="13073" xr:uid="{00000000-0005-0000-0000-0000CB320000}"/>
    <cellStyle name="Note 3 15 5 4" xfId="13074" xr:uid="{00000000-0005-0000-0000-0000CC320000}"/>
    <cellStyle name="Note 3 15 6" xfId="13075" xr:uid="{00000000-0005-0000-0000-0000CD320000}"/>
    <cellStyle name="Note 3 15 6 2" xfId="13076" xr:uid="{00000000-0005-0000-0000-0000CE320000}"/>
    <cellStyle name="Note 3 15 7" xfId="13077" xr:uid="{00000000-0005-0000-0000-0000CF320000}"/>
    <cellStyle name="Note 3 15 7 2" xfId="13078" xr:uid="{00000000-0005-0000-0000-0000D0320000}"/>
    <cellStyle name="Note 3 15 8" xfId="13079" xr:uid="{00000000-0005-0000-0000-0000D1320000}"/>
    <cellStyle name="Note 3 15 8 2" xfId="13080" xr:uid="{00000000-0005-0000-0000-0000D2320000}"/>
    <cellStyle name="Note 3 15 9" xfId="13081" xr:uid="{00000000-0005-0000-0000-0000D3320000}"/>
    <cellStyle name="Note 3 16" xfId="13082" xr:uid="{00000000-0005-0000-0000-0000D4320000}"/>
    <cellStyle name="Note 3 16 10" xfId="13083" xr:uid="{00000000-0005-0000-0000-0000D5320000}"/>
    <cellStyle name="Note 3 16 11" xfId="13084" xr:uid="{00000000-0005-0000-0000-0000D6320000}"/>
    <cellStyle name="Note 3 16 12" xfId="13085" xr:uid="{00000000-0005-0000-0000-0000D7320000}"/>
    <cellStyle name="Note 3 16 2" xfId="13086" xr:uid="{00000000-0005-0000-0000-0000D8320000}"/>
    <cellStyle name="Note 3 16 2 10" xfId="13087" xr:uid="{00000000-0005-0000-0000-0000D9320000}"/>
    <cellStyle name="Note 3 16 2 11" xfId="13088" xr:uid="{00000000-0005-0000-0000-0000DA320000}"/>
    <cellStyle name="Note 3 16 2 2" xfId="13089" xr:uid="{00000000-0005-0000-0000-0000DB320000}"/>
    <cellStyle name="Note 3 16 2 2 2" xfId="13090" xr:uid="{00000000-0005-0000-0000-0000DC320000}"/>
    <cellStyle name="Note 3 16 2 2 2 2" xfId="13091" xr:uid="{00000000-0005-0000-0000-0000DD320000}"/>
    <cellStyle name="Note 3 16 2 2 2 3" xfId="13092" xr:uid="{00000000-0005-0000-0000-0000DE320000}"/>
    <cellStyle name="Note 3 16 2 2 3" xfId="13093" xr:uid="{00000000-0005-0000-0000-0000DF320000}"/>
    <cellStyle name="Note 3 16 2 2 3 2" xfId="13094" xr:uid="{00000000-0005-0000-0000-0000E0320000}"/>
    <cellStyle name="Note 3 16 2 2 4" xfId="13095" xr:uid="{00000000-0005-0000-0000-0000E1320000}"/>
    <cellStyle name="Note 3 16 2 2 5" xfId="13096" xr:uid="{00000000-0005-0000-0000-0000E2320000}"/>
    <cellStyle name="Note 3 16 2 2 6" xfId="13097" xr:uid="{00000000-0005-0000-0000-0000E3320000}"/>
    <cellStyle name="Note 3 16 2 2 7" xfId="13098" xr:uid="{00000000-0005-0000-0000-0000E4320000}"/>
    <cellStyle name="Note 3 16 2 2 8" xfId="13099" xr:uid="{00000000-0005-0000-0000-0000E5320000}"/>
    <cellStyle name="Note 3 16 2 3" xfId="13100" xr:uid="{00000000-0005-0000-0000-0000E6320000}"/>
    <cellStyle name="Note 3 16 2 3 2" xfId="13101" xr:uid="{00000000-0005-0000-0000-0000E7320000}"/>
    <cellStyle name="Note 3 16 2 3 2 2" xfId="13102" xr:uid="{00000000-0005-0000-0000-0000E8320000}"/>
    <cellStyle name="Note 3 16 2 3 3" xfId="13103" xr:uid="{00000000-0005-0000-0000-0000E9320000}"/>
    <cellStyle name="Note 3 16 2 3 4" xfId="13104" xr:uid="{00000000-0005-0000-0000-0000EA320000}"/>
    <cellStyle name="Note 3 16 2 4" xfId="13105" xr:uid="{00000000-0005-0000-0000-0000EB320000}"/>
    <cellStyle name="Note 3 16 2 4 2" xfId="13106" xr:uid="{00000000-0005-0000-0000-0000EC320000}"/>
    <cellStyle name="Note 3 16 2 5" xfId="13107" xr:uid="{00000000-0005-0000-0000-0000ED320000}"/>
    <cellStyle name="Note 3 16 2 5 2" xfId="13108" xr:uid="{00000000-0005-0000-0000-0000EE320000}"/>
    <cellStyle name="Note 3 16 2 6" xfId="13109" xr:uid="{00000000-0005-0000-0000-0000EF320000}"/>
    <cellStyle name="Note 3 16 2 6 2" xfId="13110" xr:uid="{00000000-0005-0000-0000-0000F0320000}"/>
    <cellStyle name="Note 3 16 2 7" xfId="13111" xr:uid="{00000000-0005-0000-0000-0000F1320000}"/>
    <cellStyle name="Note 3 16 2 8" xfId="13112" xr:uid="{00000000-0005-0000-0000-0000F2320000}"/>
    <cellStyle name="Note 3 16 2 9" xfId="13113" xr:uid="{00000000-0005-0000-0000-0000F3320000}"/>
    <cellStyle name="Note 3 16 3" xfId="13114" xr:uid="{00000000-0005-0000-0000-0000F4320000}"/>
    <cellStyle name="Note 3 16 3 2" xfId="13115" xr:uid="{00000000-0005-0000-0000-0000F5320000}"/>
    <cellStyle name="Note 3 16 3 2 2" xfId="13116" xr:uid="{00000000-0005-0000-0000-0000F6320000}"/>
    <cellStyle name="Note 3 16 3 2 3" xfId="13117" xr:uid="{00000000-0005-0000-0000-0000F7320000}"/>
    <cellStyle name="Note 3 16 3 3" xfId="13118" xr:uid="{00000000-0005-0000-0000-0000F8320000}"/>
    <cellStyle name="Note 3 16 3 3 2" xfId="13119" xr:uid="{00000000-0005-0000-0000-0000F9320000}"/>
    <cellStyle name="Note 3 16 3 4" xfId="13120" xr:uid="{00000000-0005-0000-0000-0000FA320000}"/>
    <cellStyle name="Note 3 16 3 5" xfId="13121" xr:uid="{00000000-0005-0000-0000-0000FB320000}"/>
    <cellStyle name="Note 3 16 3 6" xfId="13122" xr:uid="{00000000-0005-0000-0000-0000FC320000}"/>
    <cellStyle name="Note 3 16 3 7" xfId="13123" xr:uid="{00000000-0005-0000-0000-0000FD320000}"/>
    <cellStyle name="Note 3 16 3 8" xfId="13124" xr:uid="{00000000-0005-0000-0000-0000FE320000}"/>
    <cellStyle name="Note 3 16 4" xfId="13125" xr:uid="{00000000-0005-0000-0000-0000FF320000}"/>
    <cellStyle name="Note 3 16 4 2" xfId="13126" xr:uid="{00000000-0005-0000-0000-000000330000}"/>
    <cellStyle name="Note 3 16 4 2 2" xfId="13127" xr:uid="{00000000-0005-0000-0000-000001330000}"/>
    <cellStyle name="Note 3 16 4 3" xfId="13128" xr:uid="{00000000-0005-0000-0000-000002330000}"/>
    <cellStyle name="Note 3 16 4 4" xfId="13129" xr:uid="{00000000-0005-0000-0000-000003330000}"/>
    <cellStyle name="Note 3 16 5" xfId="13130" xr:uid="{00000000-0005-0000-0000-000004330000}"/>
    <cellStyle name="Note 3 16 5 2" xfId="13131" xr:uid="{00000000-0005-0000-0000-000005330000}"/>
    <cellStyle name="Note 3 16 6" xfId="13132" xr:uid="{00000000-0005-0000-0000-000006330000}"/>
    <cellStyle name="Note 3 16 6 2" xfId="13133" xr:uid="{00000000-0005-0000-0000-000007330000}"/>
    <cellStyle name="Note 3 16 7" xfId="13134" xr:uid="{00000000-0005-0000-0000-000008330000}"/>
    <cellStyle name="Note 3 16 7 2" xfId="13135" xr:uid="{00000000-0005-0000-0000-000009330000}"/>
    <cellStyle name="Note 3 16 8" xfId="13136" xr:uid="{00000000-0005-0000-0000-00000A330000}"/>
    <cellStyle name="Note 3 16 9" xfId="13137" xr:uid="{00000000-0005-0000-0000-00000B330000}"/>
    <cellStyle name="Note 3 17" xfId="13138" xr:uid="{00000000-0005-0000-0000-00000C330000}"/>
    <cellStyle name="Note 3 17 10" xfId="13139" xr:uid="{00000000-0005-0000-0000-00000D330000}"/>
    <cellStyle name="Note 3 17 11" xfId="13140" xr:uid="{00000000-0005-0000-0000-00000E330000}"/>
    <cellStyle name="Note 3 17 2" xfId="13141" xr:uid="{00000000-0005-0000-0000-00000F330000}"/>
    <cellStyle name="Note 3 17 2 2" xfId="13142" xr:uid="{00000000-0005-0000-0000-000010330000}"/>
    <cellStyle name="Note 3 17 2 2 2" xfId="13143" xr:uid="{00000000-0005-0000-0000-000011330000}"/>
    <cellStyle name="Note 3 17 2 2 3" xfId="13144" xr:uid="{00000000-0005-0000-0000-000012330000}"/>
    <cellStyle name="Note 3 17 2 3" xfId="13145" xr:uid="{00000000-0005-0000-0000-000013330000}"/>
    <cellStyle name="Note 3 17 2 3 2" xfId="13146" xr:uid="{00000000-0005-0000-0000-000014330000}"/>
    <cellStyle name="Note 3 17 2 4" xfId="13147" xr:uid="{00000000-0005-0000-0000-000015330000}"/>
    <cellStyle name="Note 3 17 2 5" xfId="13148" xr:uid="{00000000-0005-0000-0000-000016330000}"/>
    <cellStyle name="Note 3 17 2 6" xfId="13149" xr:uid="{00000000-0005-0000-0000-000017330000}"/>
    <cellStyle name="Note 3 17 2 7" xfId="13150" xr:uid="{00000000-0005-0000-0000-000018330000}"/>
    <cellStyle name="Note 3 17 2 8" xfId="13151" xr:uid="{00000000-0005-0000-0000-000019330000}"/>
    <cellStyle name="Note 3 17 3" xfId="13152" xr:uid="{00000000-0005-0000-0000-00001A330000}"/>
    <cellStyle name="Note 3 17 3 2" xfId="13153" xr:uid="{00000000-0005-0000-0000-00001B330000}"/>
    <cellStyle name="Note 3 17 3 2 2" xfId="13154" xr:uid="{00000000-0005-0000-0000-00001C330000}"/>
    <cellStyle name="Note 3 17 3 3" xfId="13155" xr:uid="{00000000-0005-0000-0000-00001D330000}"/>
    <cellStyle name="Note 3 17 3 4" xfId="13156" xr:uid="{00000000-0005-0000-0000-00001E330000}"/>
    <cellStyle name="Note 3 17 4" xfId="13157" xr:uid="{00000000-0005-0000-0000-00001F330000}"/>
    <cellStyle name="Note 3 17 4 2" xfId="13158" xr:uid="{00000000-0005-0000-0000-000020330000}"/>
    <cellStyle name="Note 3 17 5" xfId="13159" xr:uid="{00000000-0005-0000-0000-000021330000}"/>
    <cellStyle name="Note 3 17 5 2" xfId="13160" xr:uid="{00000000-0005-0000-0000-000022330000}"/>
    <cellStyle name="Note 3 17 6" xfId="13161" xr:uid="{00000000-0005-0000-0000-000023330000}"/>
    <cellStyle name="Note 3 17 6 2" xfId="13162" xr:uid="{00000000-0005-0000-0000-000024330000}"/>
    <cellStyle name="Note 3 17 7" xfId="13163" xr:uid="{00000000-0005-0000-0000-000025330000}"/>
    <cellStyle name="Note 3 17 8" xfId="13164" xr:uid="{00000000-0005-0000-0000-000026330000}"/>
    <cellStyle name="Note 3 17 9" xfId="13165" xr:uid="{00000000-0005-0000-0000-000027330000}"/>
    <cellStyle name="Note 3 18" xfId="13166" xr:uid="{00000000-0005-0000-0000-000028330000}"/>
    <cellStyle name="Note 3 18 2" xfId="13167" xr:uid="{00000000-0005-0000-0000-000029330000}"/>
    <cellStyle name="Note 3 18 2 2" xfId="13168" xr:uid="{00000000-0005-0000-0000-00002A330000}"/>
    <cellStyle name="Note 3 18 2 3" xfId="13169" xr:uid="{00000000-0005-0000-0000-00002B330000}"/>
    <cellStyle name="Note 3 18 3" xfId="13170" xr:uid="{00000000-0005-0000-0000-00002C330000}"/>
    <cellStyle name="Note 3 18 3 2" xfId="13171" xr:uid="{00000000-0005-0000-0000-00002D330000}"/>
    <cellStyle name="Note 3 18 4" xfId="13172" xr:uid="{00000000-0005-0000-0000-00002E330000}"/>
    <cellStyle name="Note 3 18 5" xfId="13173" xr:uid="{00000000-0005-0000-0000-00002F330000}"/>
    <cellStyle name="Note 3 18 6" xfId="13174" xr:uid="{00000000-0005-0000-0000-000030330000}"/>
    <cellStyle name="Note 3 18 7" xfId="13175" xr:uid="{00000000-0005-0000-0000-000031330000}"/>
    <cellStyle name="Note 3 18 8" xfId="13176" xr:uid="{00000000-0005-0000-0000-000032330000}"/>
    <cellStyle name="Note 3 19" xfId="13177" xr:uid="{00000000-0005-0000-0000-000033330000}"/>
    <cellStyle name="Note 3 19 2" xfId="13178" xr:uid="{00000000-0005-0000-0000-000034330000}"/>
    <cellStyle name="Note 3 19 2 2" xfId="13179" xr:uid="{00000000-0005-0000-0000-000035330000}"/>
    <cellStyle name="Note 3 19 3" xfId="13180" xr:uid="{00000000-0005-0000-0000-000036330000}"/>
    <cellStyle name="Note 3 19 4" xfId="13181" xr:uid="{00000000-0005-0000-0000-000037330000}"/>
    <cellStyle name="Note 3 2" xfId="3116" xr:uid="{00000000-0005-0000-0000-000038330000}"/>
    <cellStyle name="Note 3 2 2" xfId="13182" xr:uid="{00000000-0005-0000-0000-000039330000}"/>
    <cellStyle name="Note 3 2 3" xfId="13183" xr:uid="{00000000-0005-0000-0000-00003A330000}"/>
    <cellStyle name="Note 3 2 4" xfId="13184" xr:uid="{00000000-0005-0000-0000-00003B330000}"/>
    <cellStyle name="Note 3 2 5" xfId="13185" xr:uid="{00000000-0005-0000-0000-00003C330000}"/>
    <cellStyle name="Note 3 2 6" xfId="13186" xr:uid="{00000000-0005-0000-0000-00003D330000}"/>
    <cellStyle name="Note 3 20" xfId="13187" xr:uid="{00000000-0005-0000-0000-00003E330000}"/>
    <cellStyle name="Note 3 20 2" xfId="13188" xr:uid="{00000000-0005-0000-0000-00003F330000}"/>
    <cellStyle name="Note 3 21" xfId="13189" xr:uid="{00000000-0005-0000-0000-000040330000}"/>
    <cellStyle name="Note 3 21 2" xfId="13190" xr:uid="{00000000-0005-0000-0000-000041330000}"/>
    <cellStyle name="Note 3 22" xfId="13191" xr:uid="{00000000-0005-0000-0000-000042330000}"/>
    <cellStyle name="Note 3 22 2" xfId="13192" xr:uid="{00000000-0005-0000-0000-000043330000}"/>
    <cellStyle name="Note 3 23" xfId="13193" xr:uid="{00000000-0005-0000-0000-000044330000}"/>
    <cellStyle name="Note 3 24" xfId="13194" xr:uid="{00000000-0005-0000-0000-000045330000}"/>
    <cellStyle name="Note 3 25" xfId="13195" xr:uid="{00000000-0005-0000-0000-000046330000}"/>
    <cellStyle name="Note 3 26" xfId="13196" xr:uid="{00000000-0005-0000-0000-000047330000}"/>
    <cellStyle name="Note 3 27" xfId="13197" xr:uid="{00000000-0005-0000-0000-000048330000}"/>
    <cellStyle name="Note 3 28" xfId="13198" xr:uid="{00000000-0005-0000-0000-000049330000}"/>
    <cellStyle name="Note 3 3" xfId="3117" xr:uid="{00000000-0005-0000-0000-00004A330000}"/>
    <cellStyle name="Note 3 3 2" xfId="13199" xr:uid="{00000000-0005-0000-0000-00004B330000}"/>
    <cellStyle name="Note 3 4" xfId="3118" xr:uid="{00000000-0005-0000-0000-00004C330000}"/>
    <cellStyle name="Note 3 4 2" xfId="13200" xr:uid="{00000000-0005-0000-0000-00004D330000}"/>
    <cellStyle name="Note 3 5" xfId="3119" xr:uid="{00000000-0005-0000-0000-00004E330000}"/>
    <cellStyle name="Note 3 5 2" xfId="13201" xr:uid="{00000000-0005-0000-0000-00004F330000}"/>
    <cellStyle name="Note 3 6" xfId="13202" xr:uid="{00000000-0005-0000-0000-000050330000}"/>
    <cellStyle name="Note 3 6 2" xfId="13203" xr:uid="{00000000-0005-0000-0000-000051330000}"/>
    <cellStyle name="Note 3 7" xfId="13204" xr:uid="{00000000-0005-0000-0000-000052330000}"/>
    <cellStyle name="Note 3 7 2" xfId="13205" xr:uid="{00000000-0005-0000-0000-000053330000}"/>
    <cellStyle name="Note 3 8" xfId="13206" xr:uid="{00000000-0005-0000-0000-000054330000}"/>
    <cellStyle name="Note 3 8 2" xfId="13207" xr:uid="{00000000-0005-0000-0000-000055330000}"/>
    <cellStyle name="Note 3 9" xfId="13208" xr:uid="{00000000-0005-0000-0000-000056330000}"/>
    <cellStyle name="Note 4" xfId="3120" xr:uid="{00000000-0005-0000-0000-000057330000}"/>
    <cellStyle name="Note 4 10" xfId="13209" xr:uid="{00000000-0005-0000-0000-000058330000}"/>
    <cellStyle name="Note 4 11" xfId="13210" xr:uid="{00000000-0005-0000-0000-000059330000}"/>
    <cellStyle name="Note 4 11 10" xfId="13211" xr:uid="{00000000-0005-0000-0000-00005A330000}"/>
    <cellStyle name="Note 4 11 11" xfId="13212" xr:uid="{00000000-0005-0000-0000-00005B330000}"/>
    <cellStyle name="Note 4 11 12" xfId="13213" xr:uid="{00000000-0005-0000-0000-00005C330000}"/>
    <cellStyle name="Note 4 11 13" xfId="13214" xr:uid="{00000000-0005-0000-0000-00005D330000}"/>
    <cellStyle name="Note 4 11 2" xfId="13215" xr:uid="{00000000-0005-0000-0000-00005E330000}"/>
    <cellStyle name="Note 4 11 2 10" xfId="13216" xr:uid="{00000000-0005-0000-0000-00005F330000}"/>
    <cellStyle name="Note 4 11 2 11" xfId="13217" xr:uid="{00000000-0005-0000-0000-000060330000}"/>
    <cellStyle name="Note 4 11 2 12" xfId="13218" xr:uid="{00000000-0005-0000-0000-000061330000}"/>
    <cellStyle name="Note 4 11 2 2" xfId="13219" xr:uid="{00000000-0005-0000-0000-000062330000}"/>
    <cellStyle name="Note 4 11 2 2 10" xfId="13220" xr:uid="{00000000-0005-0000-0000-000063330000}"/>
    <cellStyle name="Note 4 11 2 2 11" xfId="13221" xr:uid="{00000000-0005-0000-0000-000064330000}"/>
    <cellStyle name="Note 4 11 2 2 2" xfId="13222" xr:uid="{00000000-0005-0000-0000-000065330000}"/>
    <cellStyle name="Note 4 11 2 2 2 2" xfId="13223" xr:uid="{00000000-0005-0000-0000-000066330000}"/>
    <cellStyle name="Note 4 11 2 2 2 2 2" xfId="13224" xr:uid="{00000000-0005-0000-0000-000067330000}"/>
    <cellStyle name="Note 4 11 2 2 2 2 3" xfId="13225" xr:uid="{00000000-0005-0000-0000-000068330000}"/>
    <cellStyle name="Note 4 11 2 2 2 3" xfId="13226" xr:uid="{00000000-0005-0000-0000-000069330000}"/>
    <cellStyle name="Note 4 11 2 2 2 3 2" xfId="13227" xr:uid="{00000000-0005-0000-0000-00006A330000}"/>
    <cellStyle name="Note 4 11 2 2 2 4" xfId="13228" xr:uid="{00000000-0005-0000-0000-00006B330000}"/>
    <cellStyle name="Note 4 11 2 2 2 5" xfId="13229" xr:uid="{00000000-0005-0000-0000-00006C330000}"/>
    <cellStyle name="Note 4 11 2 2 2 6" xfId="13230" xr:uid="{00000000-0005-0000-0000-00006D330000}"/>
    <cellStyle name="Note 4 11 2 2 2 7" xfId="13231" xr:uid="{00000000-0005-0000-0000-00006E330000}"/>
    <cellStyle name="Note 4 11 2 2 2 8" xfId="13232" xr:uid="{00000000-0005-0000-0000-00006F330000}"/>
    <cellStyle name="Note 4 11 2 2 3" xfId="13233" xr:uid="{00000000-0005-0000-0000-000070330000}"/>
    <cellStyle name="Note 4 11 2 2 3 2" xfId="13234" xr:uid="{00000000-0005-0000-0000-000071330000}"/>
    <cellStyle name="Note 4 11 2 2 3 2 2" xfId="13235" xr:uid="{00000000-0005-0000-0000-000072330000}"/>
    <cellStyle name="Note 4 11 2 2 3 3" xfId="13236" xr:uid="{00000000-0005-0000-0000-000073330000}"/>
    <cellStyle name="Note 4 11 2 2 3 4" xfId="13237" xr:uid="{00000000-0005-0000-0000-000074330000}"/>
    <cellStyle name="Note 4 11 2 2 4" xfId="13238" xr:uid="{00000000-0005-0000-0000-000075330000}"/>
    <cellStyle name="Note 4 11 2 2 4 2" xfId="13239" xr:uid="{00000000-0005-0000-0000-000076330000}"/>
    <cellStyle name="Note 4 11 2 2 5" xfId="13240" xr:uid="{00000000-0005-0000-0000-000077330000}"/>
    <cellStyle name="Note 4 11 2 2 5 2" xfId="13241" xr:uid="{00000000-0005-0000-0000-000078330000}"/>
    <cellStyle name="Note 4 11 2 2 6" xfId="13242" xr:uid="{00000000-0005-0000-0000-000079330000}"/>
    <cellStyle name="Note 4 11 2 2 6 2" xfId="13243" xr:uid="{00000000-0005-0000-0000-00007A330000}"/>
    <cellStyle name="Note 4 11 2 2 7" xfId="13244" xr:uid="{00000000-0005-0000-0000-00007B330000}"/>
    <cellStyle name="Note 4 11 2 2 8" xfId="13245" xr:uid="{00000000-0005-0000-0000-00007C330000}"/>
    <cellStyle name="Note 4 11 2 2 9" xfId="13246" xr:uid="{00000000-0005-0000-0000-00007D330000}"/>
    <cellStyle name="Note 4 11 2 3" xfId="13247" xr:uid="{00000000-0005-0000-0000-00007E330000}"/>
    <cellStyle name="Note 4 11 2 3 2" xfId="13248" xr:uid="{00000000-0005-0000-0000-00007F330000}"/>
    <cellStyle name="Note 4 11 2 3 2 2" xfId="13249" xr:uid="{00000000-0005-0000-0000-000080330000}"/>
    <cellStyle name="Note 4 11 2 3 2 3" xfId="13250" xr:uid="{00000000-0005-0000-0000-000081330000}"/>
    <cellStyle name="Note 4 11 2 3 3" xfId="13251" xr:uid="{00000000-0005-0000-0000-000082330000}"/>
    <cellStyle name="Note 4 11 2 3 3 2" xfId="13252" xr:uid="{00000000-0005-0000-0000-000083330000}"/>
    <cellStyle name="Note 4 11 2 3 4" xfId="13253" xr:uid="{00000000-0005-0000-0000-000084330000}"/>
    <cellStyle name="Note 4 11 2 3 5" xfId="13254" xr:uid="{00000000-0005-0000-0000-000085330000}"/>
    <cellStyle name="Note 4 11 2 3 6" xfId="13255" xr:uid="{00000000-0005-0000-0000-000086330000}"/>
    <cellStyle name="Note 4 11 2 3 7" xfId="13256" xr:uid="{00000000-0005-0000-0000-000087330000}"/>
    <cellStyle name="Note 4 11 2 3 8" xfId="13257" xr:uid="{00000000-0005-0000-0000-000088330000}"/>
    <cellStyle name="Note 4 11 2 4" xfId="13258" xr:uid="{00000000-0005-0000-0000-000089330000}"/>
    <cellStyle name="Note 4 11 2 4 2" xfId="13259" xr:uid="{00000000-0005-0000-0000-00008A330000}"/>
    <cellStyle name="Note 4 11 2 4 2 2" xfId="13260" xr:uid="{00000000-0005-0000-0000-00008B330000}"/>
    <cellStyle name="Note 4 11 2 4 3" xfId="13261" xr:uid="{00000000-0005-0000-0000-00008C330000}"/>
    <cellStyle name="Note 4 11 2 4 4" xfId="13262" xr:uid="{00000000-0005-0000-0000-00008D330000}"/>
    <cellStyle name="Note 4 11 2 5" xfId="13263" xr:uid="{00000000-0005-0000-0000-00008E330000}"/>
    <cellStyle name="Note 4 11 2 5 2" xfId="13264" xr:uid="{00000000-0005-0000-0000-00008F330000}"/>
    <cellStyle name="Note 4 11 2 6" xfId="13265" xr:uid="{00000000-0005-0000-0000-000090330000}"/>
    <cellStyle name="Note 4 11 2 6 2" xfId="13266" xr:uid="{00000000-0005-0000-0000-000091330000}"/>
    <cellStyle name="Note 4 11 2 7" xfId="13267" xr:uid="{00000000-0005-0000-0000-000092330000}"/>
    <cellStyle name="Note 4 11 2 7 2" xfId="13268" xr:uid="{00000000-0005-0000-0000-000093330000}"/>
    <cellStyle name="Note 4 11 2 8" xfId="13269" xr:uid="{00000000-0005-0000-0000-000094330000}"/>
    <cellStyle name="Note 4 11 2 9" xfId="13270" xr:uid="{00000000-0005-0000-0000-000095330000}"/>
    <cellStyle name="Note 4 11 3" xfId="13271" xr:uid="{00000000-0005-0000-0000-000096330000}"/>
    <cellStyle name="Note 4 11 3 10" xfId="13272" xr:uid="{00000000-0005-0000-0000-000097330000}"/>
    <cellStyle name="Note 4 11 3 11" xfId="13273" xr:uid="{00000000-0005-0000-0000-000098330000}"/>
    <cellStyle name="Note 4 11 3 2" xfId="13274" xr:uid="{00000000-0005-0000-0000-000099330000}"/>
    <cellStyle name="Note 4 11 3 2 2" xfId="13275" xr:uid="{00000000-0005-0000-0000-00009A330000}"/>
    <cellStyle name="Note 4 11 3 2 2 2" xfId="13276" xr:uid="{00000000-0005-0000-0000-00009B330000}"/>
    <cellStyle name="Note 4 11 3 2 2 3" xfId="13277" xr:uid="{00000000-0005-0000-0000-00009C330000}"/>
    <cellStyle name="Note 4 11 3 2 3" xfId="13278" xr:uid="{00000000-0005-0000-0000-00009D330000}"/>
    <cellStyle name="Note 4 11 3 2 3 2" xfId="13279" xr:uid="{00000000-0005-0000-0000-00009E330000}"/>
    <cellStyle name="Note 4 11 3 2 4" xfId="13280" xr:uid="{00000000-0005-0000-0000-00009F330000}"/>
    <cellStyle name="Note 4 11 3 2 5" xfId="13281" xr:uid="{00000000-0005-0000-0000-0000A0330000}"/>
    <cellStyle name="Note 4 11 3 2 6" xfId="13282" xr:uid="{00000000-0005-0000-0000-0000A1330000}"/>
    <cellStyle name="Note 4 11 3 2 7" xfId="13283" xr:uid="{00000000-0005-0000-0000-0000A2330000}"/>
    <cellStyle name="Note 4 11 3 2 8" xfId="13284" xr:uid="{00000000-0005-0000-0000-0000A3330000}"/>
    <cellStyle name="Note 4 11 3 3" xfId="13285" xr:uid="{00000000-0005-0000-0000-0000A4330000}"/>
    <cellStyle name="Note 4 11 3 3 2" xfId="13286" xr:uid="{00000000-0005-0000-0000-0000A5330000}"/>
    <cellStyle name="Note 4 11 3 3 2 2" xfId="13287" xr:uid="{00000000-0005-0000-0000-0000A6330000}"/>
    <cellStyle name="Note 4 11 3 3 3" xfId="13288" xr:uid="{00000000-0005-0000-0000-0000A7330000}"/>
    <cellStyle name="Note 4 11 3 3 4" xfId="13289" xr:uid="{00000000-0005-0000-0000-0000A8330000}"/>
    <cellStyle name="Note 4 11 3 4" xfId="13290" xr:uid="{00000000-0005-0000-0000-0000A9330000}"/>
    <cellStyle name="Note 4 11 3 4 2" xfId="13291" xr:uid="{00000000-0005-0000-0000-0000AA330000}"/>
    <cellStyle name="Note 4 11 3 5" xfId="13292" xr:uid="{00000000-0005-0000-0000-0000AB330000}"/>
    <cellStyle name="Note 4 11 3 5 2" xfId="13293" xr:uid="{00000000-0005-0000-0000-0000AC330000}"/>
    <cellStyle name="Note 4 11 3 6" xfId="13294" xr:uid="{00000000-0005-0000-0000-0000AD330000}"/>
    <cellStyle name="Note 4 11 3 6 2" xfId="13295" xr:uid="{00000000-0005-0000-0000-0000AE330000}"/>
    <cellStyle name="Note 4 11 3 7" xfId="13296" xr:uid="{00000000-0005-0000-0000-0000AF330000}"/>
    <cellStyle name="Note 4 11 3 8" xfId="13297" xr:uid="{00000000-0005-0000-0000-0000B0330000}"/>
    <cellStyle name="Note 4 11 3 9" xfId="13298" xr:uid="{00000000-0005-0000-0000-0000B1330000}"/>
    <cellStyle name="Note 4 11 4" xfId="13299" xr:uid="{00000000-0005-0000-0000-0000B2330000}"/>
    <cellStyle name="Note 4 11 4 2" xfId="13300" xr:uid="{00000000-0005-0000-0000-0000B3330000}"/>
    <cellStyle name="Note 4 11 4 2 2" xfId="13301" xr:uid="{00000000-0005-0000-0000-0000B4330000}"/>
    <cellStyle name="Note 4 11 4 2 3" xfId="13302" xr:uid="{00000000-0005-0000-0000-0000B5330000}"/>
    <cellStyle name="Note 4 11 4 3" xfId="13303" xr:uid="{00000000-0005-0000-0000-0000B6330000}"/>
    <cellStyle name="Note 4 11 4 3 2" xfId="13304" xr:uid="{00000000-0005-0000-0000-0000B7330000}"/>
    <cellStyle name="Note 4 11 4 4" xfId="13305" xr:uid="{00000000-0005-0000-0000-0000B8330000}"/>
    <cellStyle name="Note 4 11 4 5" xfId="13306" xr:uid="{00000000-0005-0000-0000-0000B9330000}"/>
    <cellStyle name="Note 4 11 4 6" xfId="13307" xr:uid="{00000000-0005-0000-0000-0000BA330000}"/>
    <cellStyle name="Note 4 11 4 7" xfId="13308" xr:uid="{00000000-0005-0000-0000-0000BB330000}"/>
    <cellStyle name="Note 4 11 4 8" xfId="13309" xr:uid="{00000000-0005-0000-0000-0000BC330000}"/>
    <cellStyle name="Note 4 11 5" xfId="13310" xr:uid="{00000000-0005-0000-0000-0000BD330000}"/>
    <cellStyle name="Note 4 11 5 2" xfId="13311" xr:uid="{00000000-0005-0000-0000-0000BE330000}"/>
    <cellStyle name="Note 4 11 5 2 2" xfId="13312" xr:uid="{00000000-0005-0000-0000-0000BF330000}"/>
    <cellStyle name="Note 4 11 5 3" xfId="13313" xr:uid="{00000000-0005-0000-0000-0000C0330000}"/>
    <cellStyle name="Note 4 11 5 4" xfId="13314" xr:uid="{00000000-0005-0000-0000-0000C1330000}"/>
    <cellStyle name="Note 4 11 6" xfId="13315" xr:uid="{00000000-0005-0000-0000-0000C2330000}"/>
    <cellStyle name="Note 4 11 6 2" xfId="13316" xr:uid="{00000000-0005-0000-0000-0000C3330000}"/>
    <cellStyle name="Note 4 11 7" xfId="13317" xr:uid="{00000000-0005-0000-0000-0000C4330000}"/>
    <cellStyle name="Note 4 11 7 2" xfId="13318" xr:uid="{00000000-0005-0000-0000-0000C5330000}"/>
    <cellStyle name="Note 4 11 8" xfId="13319" xr:uid="{00000000-0005-0000-0000-0000C6330000}"/>
    <cellStyle name="Note 4 11 8 2" xfId="13320" xr:uid="{00000000-0005-0000-0000-0000C7330000}"/>
    <cellStyle name="Note 4 11 9" xfId="13321" xr:uid="{00000000-0005-0000-0000-0000C8330000}"/>
    <cellStyle name="Note 4 12" xfId="13322" xr:uid="{00000000-0005-0000-0000-0000C9330000}"/>
    <cellStyle name="Note 4 12 10" xfId="13323" xr:uid="{00000000-0005-0000-0000-0000CA330000}"/>
    <cellStyle name="Note 4 12 11" xfId="13324" xr:uid="{00000000-0005-0000-0000-0000CB330000}"/>
    <cellStyle name="Note 4 12 12" xfId="13325" xr:uid="{00000000-0005-0000-0000-0000CC330000}"/>
    <cellStyle name="Note 4 12 2" xfId="13326" xr:uid="{00000000-0005-0000-0000-0000CD330000}"/>
    <cellStyle name="Note 4 12 2 10" xfId="13327" xr:uid="{00000000-0005-0000-0000-0000CE330000}"/>
    <cellStyle name="Note 4 12 2 11" xfId="13328" xr:uid="{00000000-0005-0000-0000-0000CF330000}"/>
    <cellStyle name="Note 4 12 2 2" xfId="13329" xr:uid="{00000000-0005-0000-0000-0000D0330000}"/>
    <cellStyle name="Note 4 12 2 2 2" xfId="13330" xr:uid="{00000000-0005-0000-0000-0000D1330000}"/>
    <cellStyle name="Note 4 12 2 2 2 2" xfId="13331" xr:uid="{00000000-0005-0000-0000-0000D2330000}"/>
    <cellStyle name="Note 4 12 2 2 2 3" xfId="13332" xr:uid="{00000000-0005-0000-0000-0000D3330000}"/>
    <cellStyle name="Note 4 12 2 2 3" xfId="13333" xr:uid="{00000000-0005-0000-0000-0000D4330000}"/>
    <cellStyle name="Note 4 12 2 2 3 2" xfId="13334" xr:uid="{00000000-0005-0000-0000-0000D5330000}"/>
    <cellStyle name="Note 4 12 2 2 4" xfId="13335" xr:uid="{00000000-0005-0000-0000-0000D6330000}"/>
    <cellStyle name="Note 4 12 2 2 5" xfId="13336" xr:uid="{00000000-0005-0000-0000-0000D7330000}"/>
    <cellStyle name="Note 4 12 2 2 6" xfId="13337" xr:uid="{00000000-0005-0000-0000-0000D8330000}"/>
    <cellStyle name="Note 4 12 2 2 7" xfId="13338" xr:uid="{00000000-0005-0000-0000-0000D9330000}"/>
    <cellStyle name="Note 4 12 2 2 8" xfId="13339" xr:uid="{00000000-0005-0000-0000-0000DA330000}"/>
    <cellStyle name="Note 4 12 2 3" xfId="13340" xr:uid="{00000000-0005-0000-0000-0000DB330000}"/>
    <cellStyle name="Note 4 12 2 3 2" xfId="13341" xr:uid="{00000000-0005-0000-0000-0000DC330000}"/>
    <cellStyle name="Note 4 12 2 3 2 2" xfId="13342" xr:uid="{00000000-0005-0000-0000-0000DD330000}"/>
    <cellStyle name="Note 4 12 2 3 3" xfId="13343" xr:uid="{00000000-0005-0000-0000-0000DE330000}"/>
    <cellStyle name="Note 4 12 2 3 4" xfId="13344" xr:uid="{00000000-0005-0000-0000-0000DF330000}"/>
    <cellStyle name="Note 4 12 2 4" xfId="13345" xr:uid="{00000000-0005-0000-0000-0000E0330000}"/>
    <cellStyle name="Note 4 12 2 4 2" xfId="13346" xr:uid="{00000000-0005-0000-0000-0000E1330000}"/>
    <cellStyle name="Note 4 12 2 5" xfId="13347" xr:uid="{00000000-0005-0000-0000-0000E2330000}"/>
    <cellStyle name="Note 4 12 2 5 2" xfId="13348" xr:uid="{00000000-0005-0000-0000-0000E3330000}"/>
    <cellStyle name="Note 4 12 2 6" xfId="13349" xr:uid="{00000000-0005-0000-0000-0000E4330000}"/>
    <cellStyle name="Note 4 12 2 6 2" xfId="13350" xr:uid="{00000000-0005-0000-0000-0000E5330000}"/>
    <cellStyle name="Note 4 12 2 7" xfId="13351" xr:uid="{00000000-0005-0000-0000-0000E6330000}"/>
    <cellStyle name="Note 4 12 2 8" xfId="13352" xr:uid="{00000000-0005-0000-0000-0000E7330000}"/>
    <cellStyle name="Note 4 12 2 9" xfId="13353" xr:uid="{00000000-0005-0000-0000-0000E8330000}"/>
    <cellStyle name="Note 4 12 3" xfId="13354" xr:uid="{00000000-0005-0000-0000-0000E9330000}"/>
    <cellStyle name="Note 4 12 3 2" xfId="13355" xr:uid="{00000000-0005-0000-0000-0000EA330000}"/>
    <cellStyle name="Note 4 12 3 2 2" xfId="13356" xr:uid="{00000000-0005-0000-0000-0000EB330000}"/>
    <cellStyle name="Note 4 12 3 2 3" xfId="13357" xr:uid="{00000000-0005-0000-0000-0000EC330000}"/>
    <cellStyle name="Note 4 12 3 3" xfId="13358" xr:uid="{00000000-0005-0000-0000-0000ED330000}"/>
    <cellStyle name="Note 4 12 3 3 2" xfId="13359" xr:uid="{00000000-0005-0000-0000-0000EE330000}"/>
    <cellStyle name="Note 4 12 3 4" xfId="13360" xr:uid="{00000000-0005-0000-0000-0000EF330000}"/>
    <cellStyle name="Note 4 12 3 5" xfId="13361" xr:uid="{00000000-0005-0000-0000-0000F0330000}"/>
    <cellStyle name="Note 4 12 3 6" xfId="13362" xr:uid="{00000000-0005-0000-0000-0000F1330000}"/>
    <cellStyle name="Note 4 12 3 7" xfId="13363" xr:uid="{00000000-0005-0000-0000-0000F2330000}"/>
    <cellStyle name="Note 4 12 3 8" xfId="13364" xr:uid="{00000000-0005-0000-0000-0000F3330000}"/>
    <cellStyle name="Note 4 12 4" xfId="13365" xr:uid="{00000000-0005-0000-0000-0000F4330000}"/>
    <cellStyle name="Note 4 12 4 2" xfId="13366" xr:uid="{00000000-0005-0000-0000-0000F5330000}"/>
    <cellStyle name="Note 4 12 4 2 2" xfId="13367" xr:uid="{00000000-0005-0000-0000-0000F6330000}"/>
    <cellStyle name="Note 4 12 4 3" xfId="13368" xr:uid="{00000000-0005-0000-0000-0000F7330000}"/>
    <cellStyle name="Note 4 12 4 4" xfId="13369" xr:uid="{00000000-0005-0000-0000-0000F8330000}"/>
    <cellStyle name="Note 4 12 5" xfId="13370" xr:uid="{00000000-0005-0000-0000-0000F9330000}"/>
    <cellStyle name="Note 4 12 5 2" xfId="13371" xr:uid="{00000000-0005-0000-0000-0000FA330000}"/>
    <cellStyle name="Note 4 12 6" xfId="13372" xr:uid="{00000000-0005-0000-0000-0000FB330000}"/>
    <cellStyle name="Note 4 12 6 2" xfId="13373" xr:uid="{00000000-0005-0000-0000-0000FC330000}"/>
    <cellStyle name="Note 4 12 7" xfId="13374" xr:uid="{00000000-0005-0000-0000-0000FD330000}"/>
    <cellStyle name="Note 4 12 7 2" xfId="13375" xr:uid="{00000000-0005-0000-0000-0000FE330000}"/>
    <cellStyle name="Note 4 12 8" xfId="13376" xr:uid="{00000000-0005-0000-0000-0000FF330000}"/>
    <cellStyle name="Note 4 12 9" xfId="13377" xr:uid="{00000000-0005-0000-0000-000000340000}"/>
    <cellStyle name="Note 4 13" xfId="13378" xr:uid="{00000000-0005-0000-0000-000001340000}"/>
    <cellStyle name="Note 4 13 10" xfId="13379" xr:uid="{00000000-0005-0000-0000-000002340000}"/>
    <cellStyle name="Note 4 13 11" xfId="13380" xr:uid="{00000000-0005-0000-0000-000003340000}"/>
    <cellStyle name="Note 4 13 2" xfId="13381" xr:uid="{00000000-0005-0000-0000-000004340000}"/>
    <cellStyle name="Note 4 13 2 2" xfId="13382" xr:uid="{00000000-0005-0000-0000-000005340000}"/>
    <cellStyle name="Note 4 13 2 2 2" xfId="13383" xr:uid="{00000000-0005-0000-0000-000006340000}"/>
    <cellStyle name="Note 4 13 2 2 3" xfId="13384" xr:uid="{00000000-0005-0000-0000-000007340000}"/>
    <cellStyle name="Note 4 13 2 3" xfId="13385" xr:uid="{00000000-0005-0000-0000-000008340000}"/>
    <cellStyle name="Note 4 13 2 3 2" xfId="13386" xr:uid="{00000000-0005-0000-0000-000009340000}"/>
    <cellStyle name="Note 4 13 2 4" xfId="13387" xr:uid="{00000000-0005-0000-0000-00000A340000}"/>
    <cellStyle name="Note 4 13 2 5" xfId="13388" xr:uid="{00000000-0005-0000-0000-00000B340000}"/>
    <cellStyle name="Note 4 13 2 6" xfId="13389" xr:uid="{00000000-0005-0000-0000-00000C340000}"/>
    <cellStyle name="Note 4 13 2 7" xfId="13390" xr:uid="{00000000-0005-0000-0000-00000D340000}"/>
    <cellStyle name="Note 4 13 2 8" xfId="13391" xr:uid="{00000000-0005-0000-0000-00000E340000}"/>
    <cellStyle name="Note 4 13 3" xfId="13392" xr:uid="{00000000-0005-0000-0000-00000F340000}"/>
    <cellStyle name="Note 4 13 3 2" xfId="13393" xr:uid="{00000000-0005-0000-0000-000010340000}"/>
    <cellStyle name="Note 4 13 3 2 2" xfId="13394" xr:uid="{00000000-0005-0000-0000-000011340000}"/>
    <cellStyle name="Note 4 13 3 3" xfId="13395" xr:uid="{00000000-0005-0000-0000-000012340000}"/>
    <cellStyle name="Note 4 13 3 4" xfId="13396" xr:uid="{00000000-0005-0000-0000-000013340000}"/>
    <cellStyle name="Note 4 13 4" xfId="13397" xr:uid="{00000000-0005-0000-0000-000014340000}"/>
    <cellStyle name="Note 4 13 4 2" xfId="13398" xr:uid="{00000000-0005-0000-0000-000015340000}"/>
    <cellStyle name="Note 4 13 5" xfId="13399" xr:uid="{00000000-0005-0000-0000-000016340000}"/>
    <cellStyle name="Note 4 13 5 2" xfId="13400" xr:uid="{00000000-0005-0000-0000-000017340000}"/>
    <cellStyle name="Note 4 13 6" xfId="13401" xr:uid="{00000000-0005-0000-0000-000018340000}"/>
    <cellStyle name="Note 4 13 6 2" xfId="13402" xr:uid="{00000000-0005-0000-0000-000019340000}"/>
    <cellStyle name="Note 4 13 7" xfId="13403" xr:uid="{00000000-0005-0000-0000-00001A340000}"/>
    <cellStyle name="Note 4 13 8" xfId="13404" xr:uid="{00000000-0005-0000-0000-00001B340000}"/>
    <cellStyle name="Note 4 13 9" xfId="13405" xr:uid="{00000000-0005-0000-0000-00001C340000}"/>
    <cellStyle name="Note 4 14" xfId="13406" xr:uid="{00000000-0005-0000-0000-00001D340000}"/>
    <cellStyle name="Note 4 14 2" xfId="13407" xr:uid="{00000000-0005-0000-0000-00001E340000}"/>
    <cellStyle name="Note 4 14 2 2" xfId="13408" xr:uid="{00000000-0005-0000-0000-00001F340000}"/>
    <cellStyle name="Note 4 14 2 3" xfId="13409" xr:uid="{00000000-0005-0000-0000-000020340000}"/>
    <cellStyle name="Note 4 14 3" xfId="13410" xr:uid="{00000000-0005-0000-0000-000021340000}"/>
    <cellStyle name="Note 4 14 3 2" xfId="13411" xr:uid="{00000000-0005-0000-0000-000022340000}"/>
    <cellStyle name="Note 4 14 4" xfId="13412" xr:uid="{00000000-0005-0000-0000-000023340000}"/>
    <cellStyle name="Note 4 14 5" xfId="13413" xr:uid="{00000000-0005-0000-0000-000024340000}"/>
    <cellStyle name="Note 4 14 6" xfId="13414" xr:uid="{00000000-0005-0000-0000-000025340000}"/>
    <cellStyle name="Note 4 14 7" xfId="13415" xr:uid="{00000000-0005-0000-0000-000026340000}"/>
    <cellStyle name="Note 4 14 8" xfId="13416" xr:uid="{00000000-0005-0000-0000-000027340000}"/>
    <cellStyle name="Note 4 15" xfId="13417" xr:uid="{00000000-0005-0000-0000-000028340000}"/>
    <cellStyle name="Note 4 15 2" xfId="13418" xr:uid="{00000000-0005-0000-0000-000029340000}"/>
    <cellStyle name="Note 4 15 2 2" xfId="13419" xr:uid="{00000000-0005-0000-0000-00002A340000}"/>
    <cellStyle name="Note 4 15 3" xfId="13420" xr:uid="{00000000-0005-0000-0000-00002B340000}"/>
    <cellStyle name="Note 4 15 4" xfId="13421" xr:uid="{00000000-0005-0000-0000-00002C340000}"/>
    <cellStyle name="Note 4 16" xfId="13422" xr:uid="{00000000-0005-0000-0000-00002D340000}"/>
    <cellStyle name="Note 4 16 2" xfId="13423" xr:uid="{00000000-0005-0000-0000-00002E340000}"/>
    <cellStyle name="Note 4 17" xfId="13424" xr:uid="{00000000-0005-0000-0000-00002F340000}"/>
    <cellStyle name="Note 4 17 2" xfId="13425" xr:uid="{00000000-0005-0000-0000-000030340000}"/>
    <cellStyle name="Note 4 18" xfId="13426" xr:uid="{00000000-0005-0000-0000-000031340000}"/>
    <cellStyle name="Note 4 18 2" xfId="13427" xr:uid="{00000000-0005-0000-0000-000032340000}"/>
    <cellStyle name="Note 4 19" xfId="13428" xr:uid="{00000000-0005-0000-0000-000033340000}"/>
    <cellStyle name="Note 4 2" xfId="13429" xr:uid="{00000000-0005-0000-0000-000034340000}"/>
    <cellStyle name="Note 4 2 2" xfId="13430" xr:uid="{00000000-0005-0000-0000-000035340000}"/>
    <cellStyle name="Note 4 2 3" xfId="13431" xr:uid="{00000000-0005-0000-0000-000036340000}"/>
    <cellStyle name="Note 4 20" xfId="13432" xr:uid="{00000000-0005-0000-0000-000037340000}"/>
    <cellStyle name="Note 4 21" xfId="13433" xr:uid="{00000000-0005-0000-0000-000038340000}"/>
    <cellStyle name="Note 4 22" xfId="13434" xr:uid="{00000000-0005-0000-0000-000039340000}"/>
    <cellStyle name="Note 4 23" xfId="13435" xr:uid="{00000000-0005-0000-0000-00003A340000}"/>
    <cellStyle name="Note 4 24" xfId="13436" xr:uid="{00000000-0005-0000-0000-00003B340000}"/>
    <cellStyle name="Note 4 3" xfId="13437" xr:uid="{00000000-0005-0000-0000-00003C340000}"/>
    <cellStyle name="Note 4 3 2" xfId="13438" xr:uid="{00000000-0005-0000-0000-00003D340000}"/>
    <cellStyle name="Note 4 4" xfId="13439" xr:uid="{00000000-0005-0000-0000-00003E340000}"/>
    <cellStyle name="Note 4 4 2" xfId="13440" xr:uid="{00000000-0005-0000-0000-00003F340000}"/>
    <cellStyle name="Note 4 5" xfId="13441" xr:uid="{00000000-0005-0000-0000-000040340000}"/>
    <cellStyle name="Note 4 5 2" xfId="13442" xr:uid="{00000000-0005-0000-0000-000041340000}"/>
    <cellStyle name="Note 4 6" xfId="13443" xr:uid="{00000000-0005-0000-0000-000042340000}"/>
    <cellStyle name="Note 4 7" xfId="13444" xr:uid="{00000000-0005-0000-0000-000043340000}"/>
    <cellStyle name="Note 4 8" xfId="13445" xr:uid="{00000000-0005-0000-0000-000044340000}"/>
    <cellStyle name="Note 4 8 10" xfId="13446" xr:uid="{00000000-0005-0000-0000-000045340000}"/>
    <cellStyle name="Note 4 8 11" xfId="13447" xr:uid="{00000000-0005-0000-0000-000046340000}"/>
    <cellStyle name="Note 4 8 12" xfId="13448" xr:uid="{00000000-0005-0000-0000-000047340000}"/>
    <cellStyle name="Note 4 8 13" xfId="13449" xr:uid="{00000000-0005-0000-0000-000048340000}"/>
    <cellStyle name="Note 4 8 14" xfId="13450" xr:uid="{00000000-0005-0000-0000-000049340000}"/>
    <cellStyle name="Note 4 8 2" xfId="13451" xr:uid="{00000000-0005-0000-0000-00004A340000}"/>
    <cellStyle name="Note 4 8 2 10" xfId="13452" xr:uid="{00000000-0005-0000-0000-00004B340000}"/>
    <cellStyle name="Note 4 8 2 11" xfId="13453" xr:uid="{00000000-0005-0000-0000-00004C340000}"/>
    <cellStyle name="Note 4 8 2 12" xfId="13454" xr:uid="{00000000-0005-0000-0000-00004D340000}"/>
    <cellStyle name="Note 4 8 2 13" xfId="13455" xr:uid="{00000000-0005-0000-0000-00004E340000}"/>
    <cellStyle name="Note 4 8 2 2" xfId="13456" xr:uid="{00000000-0005-0000-0000-00004F340000}"/>
    <cellStyle name="Note 4 8 2 2 10" xfId="13457" xr:uid="{00000000-0005-0000-0000-000050340000}"/>
    <cellStyle name="Note 4 8 2 2 11" xfId="13458" xr:uid="{00000000-0005-0000-0000-000051340000}"/>
    <cellStyle name="Note 4 8 2 2 12" xfId="13459" xr:uid="{00000000-0005-0000-0000-000052340000}"/>
    <cellStyle name="Note 4 8 2 2 2" xfId="13460" xr:uid="{00000000-0005-0000-0000-000053340000}"/>
    <cellStyle name="Note 4 8 2 2 2 10" xfId="13461" xr:uid="{00000000-0005-0000-0000-000054340000}"/>
    <cellStyle name="Note 4 8 2 2 2 11" xfId="13462" xr:uid="{00000000-0005-0000-0000-000055340000}"/>
    <cellStyle name="Note 4 8 2 2 2 2" xfId="13463" xr:uid="{00000000-0005-0000-0000-000056340000}"/>
    <cellStyle name="Note 4 8 2 2 2 2 2" xfId="13464" xr:uid="{00000000-0005-0000-0000-000057340000}"/>
    <cellStyle name="Note 4 8 2 2 2 2 2 2" xfId="13465" xr:uid="{00000000-0005-0000-0000-000058340000}"/>
    <cellStyle name="Note 4 8 2 2 2 2 2 3" xfId="13466" xr:uid="{00000000-0005-0000-0000-000059340000}"/>
    <cellStyle name="Note 4 8 2 2 2 2 3" xfId="13467" xr:uid="{00000000-0005-0000-0000-00005A340000}"/>
    <cellStyle name="Note 4 8 2 2 2 2 3 2" xfId="13468" xr:uid="{00000000-0005-0000-0000-00005B340000}"/>
    <cellStyle name="Note 4 8 2 2 2 2 4" xfId="13469" xr:uid="{00000000-0005-0000-0000-00005C340000}"/>
    <cellStyle name="Note 4 8 2 2 2 2 5" xfId="13470" xr:uid="{00000000-0005-0000-0000-00005D340000}"/>
    <cellStyle name="Note 4 8 2 2 2 2 6" xfId="13471" xr:uid="{00000000-0005-0000-0000-00005E340000}"/>
    <cellStyle name="Note 4 8 2 2 2 2 7" xfId="13472" xr:uid="{00000000-0005-0000-0000-00005F340000}"/>
    <cellStyle name="Note 4 8 2 2 2 2 8" xfId="13473" xr:uid="{00000000-0005-0000-0000-000060340000}"/>
    <cellStyle name="Note 4 8 2 2 2 3" xfId="13474" xr:uid="{00000000-0005-0000-0000-000061340000}"/>
    <cellStyle name="Note 4 8 2 2 2 3 2" xfId="13475" xr:uid="{00000000-0005-0000-0000-000062340000}"/>
    <cellStyle name="Note 4 8 2 2 2 3 2 2" xfId="13476" xr:uid="{00000000-0005-0000-0000-000063340000}"/>
    <cellStyle name="Note 4 8 2 2 2 3 3" xfId="13477" xr:uid="{00000000-0005-0000-0000-000064340000}"/>
    <cellStyle name="Note 4 8 2 2 2 3 4" xfId="13478" xr:uid="{00000000-0005-0000-0000-000065340000}"/>
    <cellStyle name="Note 4 8 2 2 2 4" xfId="13479" xr:uid="{00000000-0005-0000-0000-000066340000}"/>
    <cellStyle name="Note 4 8 2 2 2 4 2" xfId="13480" xr:uid="{00000000-0005-0000-0000-000067340000}"/>
    <cellStyle name="Note 4 8 2 2 2 5" xfId="13481" xr:uid="{00000000-0005-0000-0000-000068340000}"/>
    <cellStyle name="Note 4 8 2 2 2 5 2" xfId="13482" xr:uid="{00000000-0005-0000-0000-000069340000}"/>
    <cellStyle name="Note 4 8 2 2 2 6" xfId="13483" xr:uid="{00000000-0005-0000-0000-00006A340000}"/>
    <cellStyle name="Note 4 8 2 2 2 6 2" xfId="13484" xr:uid="{00000000-0005-0000-0000-00006B340000}"/>
    <cellStyle name="Note 4 8 2 2 2 7" xfId="13485" xr:uid="{00000000-0005-0000-0000-00006C340000}"/>
    <cellStyle name="Note 4 8 2 2 2 8" xfId="13486" xr:uid="{00000000-0005-0000-0000-00006D340000}"/>
    <cellStyle name="Note 4 8 2 2 2 9" xfId="13487" xr:uid="{00000000-0005-0000-0000-00006E340000}"/>
    <cellStyle name="Note 4 8 2 2 3" xfId="13488" xr:uid="{00000000-0005-0000-0000-00006F340000}"/>
    <cellStyle name="Note 4 8 2 2 3 2" xfId="13489" xr:uid="{00000000-0005-0000-0000-000070340000}"/>
    <cellStyle name="Note 4 8 2 2 3 2 2" xfId="13490" xr:uid="{00000000-0005-0000-0000-000071340000}"/>
    <cellStyle name="Note 4 8 2 2 3 2 3" xfId="13491" xr:uid="{00000000-0005-0000-0000-000072340000}"/>
    <cellStyle name="Note 4 8 2 2 3 3" xfId="13492" xr:uid="{00000000-0005-0000-0000-000073340000}"/>
    <cellStyle name="Note 4 8 2 2 3 3 2" xfId="13493" xr:uid="{00000000-0005-0000-0000-000074340000}"/>
    <cellStyle name="Note 4 8 2 2 3 4" xfId="13494" xr:uid="{00000000-0005-0000-0000-000075340000}"/>
    <cellStyle name="Note 4 8 2 2 3 5" xfId="13495" xr:uid="{00000000-0005-0000-0000-000076340000}"/>
    <cellStyle name="Note 4 8 2 2 3 6" xfId="13496" xr:uid="{00000000-0005-0000-0000-000077340000}"/>
    <cellStyle name="Note 4 8 2 2 3 7" xfId="13497" xr:uid="{00000000-0005-0000-0000-000078340000}"/>
    <cellStyle name="Note 4 8 2 2 3 8" xfId="13498" xr:uid="{00000000-0005-0000-0000-000079340000}"/>
    <cellStyle name="Note 4 8 2 2 4" xfId="13499" xr:uid="{00000000-0005-0000-0000-00007A340000}"/>
    <cellStyle name="Note 4 8 2 2 4 2" xfId="13500" xr:uid="{00000000-0005-0000-0000-00007B340000}"/>
    <cellStyle name="Note 4 8 2 2 4 2 2" xfId="13501" xr:uid="{00000000-0005-0000-0000-00007C340000}"/>
    <cellStyle name="Note 4 8 2 2 4 3" xfId="13502" xr:uid="{00000000-0005-0000-0000-00007D340000}"/>
    <cellStyle name="Note 4 8 2 2 4 4" xfId="13503" xr:uid="{00000000-0005-0000-0000-00007E340000}"/>
    <cellStyle name="Note 4 8 2 2 5" xfId="13504" xr:uid="{00000000-0005-0000-0000-00007F340000}"/>
    <cellStyle name="Note 4 8 2 2 5 2" xfId="13505" xr:uid="{00000000-0005-0000-0000-000080340000}"/>
    <cellStyle name="Note 4 8 2 2 6" xfId="13506" xr:uid="{00000000-0005-0000-0000-000081340000}"/>
    <cellStyle name="Note 4 8 2 2 6 2" xfId="13507" xr:uid="{00000000-0005-0000-0000-000082340000}"/>
    <cellStyle name="Note 4 8 2 2 7" xfId="13508" xr:uid="{00000000-0005-0000-0000-000083340000}"/>
    <cellStyle name="Note 4 8 2 2 7 2" xfId="13509" xr:uid="{00000000-0005-0000-0000-000084340000}"/>
    <cellStyle name="Note 4 8 2 2 8" xfId="13510" xr:uid="{00000000-0005-0000-0000-000085340000}"/>
    <cellStyle name="Note 4 8 2 2 9" xfId="13511" xr:uid="{00000000-0005-0000-0000-000086340000}"/>
    <cellStyle name="Note 4 8 2 3" xfId="13512" xr:uid="{00000000-0005-0000-0000-000087340000}"/>
    <cellStyle name="Note 4 8 2 3 10" xfId="13513" xr:uid="{00000000-0005-0000-0000-000088340000}"/>
    <cellStyle name="Note 4 8 2 3 11" xfId="13514" xr:uid="{00000000-0005-0000-0000-000089340000}"/>
    <cellStyle name="Note 4 8 2 3 2" xfId="13515" xr:uid="{00000000-0005-0000-0000-00008A340000}"/>
    <cellStyle name="Note 4 8 2 3 2 2" xfId="13516" xr:uid="{00000000-0005-0000-0000-00008B340000}"/>
    <cellStyle name="Note 4 8 2 3 2 2 2" xfId="13517" xr:uid="{00000000-0005-0000-0000-00008C340000}"/>
    <cellStyle name="Note 4 8 2 3 2 2 3" xfId="13518" xr:uid="{00000000-0005-0000-0000-00008D340000}"/>
    <cellStyle name="Note 4 8 2 3 2 3" xfId="13519" xr:uid="{00000000-0005-0000-0000-00008E340000}"/>
    <cellStyle name="Note 4 8 2 3 2 3 2" xfId="13520" xr:uid="{00000000-0005-0000-0000-00008F340000}"/>
    <cellStyle name="Note 4 8 2 3 2 4" xfId="13521" xr:uid="{00000000-0005-0000-0000-000090340000}"/>
    <cellStyle name="Note 4 8 2 3 2 5" xfId="13522" xr:uid="{00000000-0005-0000-0000-000091340000}"/>
    <cellStyle name="Note 4 8 2 3 2 6" xfId="13523" xr:uid="{00000000-0005-0000-0000-000092340000}"/>
    <cellStyle name="Note 4 8 2 3 2 7" xfId="13524" xr:uid="{00000000-0005-0000-0000-000093340000}"/>
    <cellStyle name="Note 4 8 2 3 2 8" xfId="13525" xr:uid="{00000000-0005-0000-0000-000094340000}"/>
    <cellStyle name="Note 4 8 2 3 3" xfId="13526" xr:uid="{00000000-0005-0000-0000-000095340000}"/>
    <cellStyle name="Note 4 8 2 3 3 2" xfId="13527" xr:uid="{00000000-0005-0000-0000-000096340000}"/>
    <cellStyle name="Note 4 8 2 3 3 2 2" xfId="13528" xr:uid="{00000000-0005-0000-0000-000097340000}"/>
    <cellStyle name="Note 4 8 2 3 3 3" xfId="13529" xr:uid="{00000000-0005-0000-0000-000098340000}"/>
    <cellStyle name="Note 4 8 2 3 3 4" xfId="13530" xr:uid="{00000000-0005-0000-0000-000099340000}"/>
    <cellStyle name="Note 4 8 2 3 4" xfId="13531" xr:uid="{00000000-0005-0000-0000-00009A340000}"/>
    <cellStyle name="Note 4 8 2 3 4 2" xfId="13532" xr:uid="{00000000-0005-0000-0000-00009B340000}"/>
    <cellStyle name="Note 4 8 2 3 5" xfId="13533" xr:uid="{00000000-0005-0000-0000-00009C340000}"/>
    <cellStyle name="Note 4 8 2 3 5 2" xfId="13534" xr:uid="{00000000-0005-0000-0000-00009D340000}"/>
    <cellStyle name="Note 4 8 2 3 6" xfId="13535" xr:uid="{00000000-0005-0000-0000-00009E340000}"/>
    <cellStyle name="Note 4 8 2 3 6 2" xfId="13536" xr:uid="{00000000-0005-0000-0000-00009F340000}"/>
    <cellStyle name="Note 4 8 2 3 7" xfId="13537" xr:uid="{00000000-0005-0000-0000-0000A0340000}"/>
    <cellStyle name="Note 4 8 2 3 8" xfId="13538" xr:uid="{00000000-0005-0000-0000-0000A1340000}"/>
    <cellStyle name="Note 4 8 2 3 9" xfId="13539" xr:uid="{00000000-0005-0000-0000-0000A2340000}"/>
    <cellStyle name="Note 4 8 2 4" xfId="13540" xr:uid="{00000000-0005-0000-0000-0000A3340000}"/>
    <cellStyle name="Note 4 8 2 4 2" xfId="13541" xr:uid="{00000000-0005-0000-0000-0000A4340000}"/>
    <cellStyle name="Note 4 8 2 4 2 2" xfId="13542" xr:uid="{00000000-0005-0000-0000-0000A5340000}"/>
    <cellStyle name="Note 4 8 2 4 2 3" xfId="13543" xr:uid="{00000000-0005-0000-0000-0000A6340000}"/>
    <cellStyle name="Note 4 8 2 4 3" xfId="13544" xr:uid="{00000000-0005-0000-0000-0000A7340000}"/>
    <cellStyle name="Note 4 8 2 4 3 2" xfId="13545" xr:uid="{00000000-0005-0000-0000-0000A8340000}"/>
    <cellStyle name="Note 4 8 2 4 4" xfId="13546" xr:uid="{00000000-0005-0000-0000-0000A9340000}"/>
    <cellStyle name="Note 4 8 2 4 5" xfId="13547" xr:uid="{00000000-0005-0000-0000-0000AA340000}"/>
    <cellStyle name="Note 4 8 2 4 6" xfId="13548" xr:uid="{00000000-0005-0000-0000-0000AB340000}"/>
    <cellStyle name="Note 4 8 2 4 7" xfId="13549" xr:uid="{00000000-0005-0000-0000-0000AC340000}"/>
    <cellStyle name="Note 4 8 2 4 8" xfId="13550" xr:uid="{00000000-0005-0000-0000-0000AD340000}"/>
    <cellStyle name="Note 4 8 2 5" xfId="13551" xr:uid="{00000000-0005-0000-0000-0000AE340000}"/>
    <cellStyle name="Note 4 8 2 5 2" xfId="13552" xr:uid="{00000000-0005-0000-0000-0000AF340000}"/>
    <cellStyle name="Note 4 8 2 5 2 2" xfId="13553" xr:uid="{00000000-0005-0000-0000-0000B0340000}"/>
    <cellStyle name="Note 4 8 2 5 3" xfId="13554" xr:uid="{00000000-0005-0000-0000-0000B1340000}"/>
    <cellStyle name="Note 4 8 2 5 4" xfId="13555" xr:uid="{00000000-0005-0000-0000-0000B2340000}"/>
    <cellStyle name="Note 4 8 2 6" xfId="13556" xr:uid="{00000000-0005-0000-0000-0000B3340000}"/>
    <cellStyle name="Note 4 8 2 6 2" xfId="13557" xr:uid="{00000000-0005-0000-0000-0000B4340000}"/>
    <cellStyle name="Note 4 8 2 7" xfId="13558" xr:uid="{00000000-0005-0000-0000-0000B5340000}"/>
    <cellStyle name="Note 4 8 2 7 2" xfId="13559" xr:uid="{00000000-0005-0000-0000-0000B6340000}"/>
    <cellStyle name="Note 4 8 2 8" xfId="13560" xr:uid="{00000000-0005-0000-0000-0000B7340000}"/>
    <cellStyle name="Note 4 8 2 8 2" xfId="13561" xr:uid="{00000000-0005-0000-0000-0000B8340000}"/>
    <cellStyle name="Note 4 8 2 9" xfId="13562" xr:uid="{00000000-0005-0000-0000-0000B9340000}"/>
    <cellStyle name="Note 4 8 3" xfId="13563" xr:uid="{00000000-0005-0000-0000-0000BA340000}"/>
    <cellStyle name="Note 4 8 3 10" xfId="13564" xr:uid="{00000000-0005-0000-0000-0000BB340000}"/>
    <cellStyle name="Note 4 8 3 11" xfId="13565" xr:uid="{00000000-0005-0000-0000-0000BC340000}"/>
    <cellStyle name="Note 4 8 3 12" xfId="13566" xr:uid="{00000000-0005-0000-0000-0000BD340000}"/>
    <cellStyle name="Note 4 8 3 2" xfId="13567" xr:uid="{00000000-0005-0000-0000-0000BE340000}"/>
    <cellStyle name="Note 4 8 3 2 10" xfId="13568" xr:uid="{00000000-0005-0000-0000-0000BF340000}"/>
    <cellStyle name="Note 4 8 3 2 11" xfId="13569" xr:uid="{00000000-0005-0000-0000-0000C0340000}"/>
    <cellStyle name="Note 4 8 3 2 2" xfId="13570" xr:uid="{00000000-0005-0000-0000-0000C1340000}"/>
    <cellStyle name="Note 4 8 3 2 2 2" xfId="13571" xr:uid="{00000000-0005-0000-0000-0000C2340000}"/>
    <cellStyle name="Note 4 8 3 2 2 2 2" xfId="13572" xr:uid="{00000000-0005-0000-0000-0000C3340000}"/>
    <cellStyle name="Note 4 8 3 2 2 2 3" xfId="13573" xr:uid="{00000000-0005-0000-0000-0000C4340000}"/>
    <cellStyle name="Note 4 8 3 2 2 3" xfId="13574" xr:uid="{00000000-0005-0000-0000-0000C5340000}"/>
    <cellStyle name="Note 4 8 3 2 2 3 2" xfId="13575" xr:uid="{00000000-0005-0000-0000-0000C6340000}"/>
    <cellStyle name="Note 4 8 3 2 2 4" xfId="13576" xr:uid="{00000000-0005-0000-0000-0000C7340000}"/>
    <cellStyle name="Note 4 8 3 2 2 5" xfId="13577" xr:uid="{00000000-0005-0000-0000-0000C8340000}"/>
    <cellStyle name="Note 4 8 3 2 2 6" xfId="13578" xr:uid="{00000000-0005-0000-0000-0000C9340000}"/>
    <cellStyle name="Note 4 8 3 2 2 7" xfId="13579" xr:uid="{00000000-0005-0000-0000-0000CA340000}"/>
    <cellStyle name="Note 4 8 3 2 2 8" xfId="13580" xr:uid="{00000000-0005-0000-0000-0000CB340000}"/>
    <cellStyle name="Note 4 8 3 2 3" xfId="13581" xr:uid="{00000000-0005-0000-0000-0000CC340000}"/>
    <cellStyle name="Note 4 8 3 2 3 2" xfId="13582" xr:uid="{00000000-0005-0000-0000-0000CD340000}"/>
    <cellStyle name="Note 4 8 3 2 3 2 2" xfId="13583" xr:uid="{00000000-0005-0000-0000-0000CE340000}"/>
    <cellStyle name="Note 4 8 3 2 3 3" xfId="13584" xr:uid="{00000000-0005-0000-0000-0000CF340000}"/>
    <cellStyle name="Note 4 8 3 2 3 4" xfId="13585" xr:uid="{00000000-0005-0000-0000-0000D0340000}"/>
    <cellStyle name="Note 4 8 3 2 4" xfId="13586" xr:uid="{00000000-0005-0000-0000-0000D1340000}"/>
    <cellStyle name="Note 4 8 3 2 4 2" xfId="13587" xr:uid="{00000000-0005-0000-0000-0000D2340000}"/>
    <cellStyle name="Note 4 8 3 2 5" xfId="13588" xr:uid="{00000000-0005-0000-0000-0000D3340000}"/>
    <cellStyle name="Note 4 8 3 2 5 2" xfId="13589" xr:uid="{00000000-0005-0000-0000-0000D4340000}"/>
    <cellStyle name="Note 4 8 3 2 6" xfId="13590" xr:uid="{00000000-0005-0000-0000-0000D5340000}"/>
    <cellStyle name="Note 4 8 3 2 6 2" xfId="13591" xr:uid="{00000000-0005-0000-0000-0000D6340000}"/>
    <cellStyle name="Note 4 8 3 2 7" xfId="13592" xr:uid="{00000000-0005-0000-0000-0000D7340000}"/>
    <cellStyle name="Note 4 8 3 2 8" xfId="13593" xr:uid="{00000000-0005-0000-0000-0000D8340000}"/>
    <cellStyle name="Note 4 8 3 2 9" xfId="13594" xr:uid="{00000000-0005-0000-0000-0000D9340000}"/>
    <cellStyle name="Note 4 8 3 3" xfId="13595" xr:uid="{00000000-0005-0000-0000-0000DA340000}"/>
    <cellStyle name="Note 4 8 3 3 2" xfId="13596" xr:uid="{00000000-0005-0000-0000-0000DB340000}"/>
    <cellStyle name="Note 4 8 3 3 2 2" xfId="13597" xr:uid="{00000000-0005-0000-0000-0000DC340000}"/>
    <cellStyle name="Note 4 8 3 3 2 3" xfId="13598" xr:uid="{00000000-0005-0000-0000-0000DD340000}"/>
    <cellStyle name="Note 4 8 3 3 3" xfId="13599" xr:uid="{00000000-0005-0000-0000-0000DE340000}"/>
    <cellStyle name="Note 4 8 3 3 3 2" xfId="13600" xr:uid="{00000000-0005-0000-0000-0000DF340000}"/>
    <cellStyle name="Note 4 8 3 3 4" xfId="13601" xr:uid="{00000000-0005-0000-0000-0000E0340000}"/>
    <cellStyle name="Note 4 8 3 3 5" xfId="13602" xr:uid="{00000000-0005-0000-0000-0000E1340000}"/>
    <cellStyle name="Note 4 8 3 3 6" xfId="13603" xr:uid="{00000000-0005-0000-0000-0000E2340000}"/>
    <cellStyle name="Note 4 8 3 3 7" xfId="13604" xr:uid="{00000000-0005-0000-0000-0000E3340000}"/>
    <cellStyle name="Note 4 8 3 3 8" xfId="13605" xr:uid="{00000000-0005-0000-0000-0000E4340000}"/>
    <cellStyle name="Note 4 8 3 4" xfId="13606" xr:uid="{00000000-0005-0000-0000-0000E5340000}"/>
    <cellStyle name="Note 4 8 3 4 2" xfId="13607" xr:uid="{00000000-0005-0000-0000-0000E6340000}"/>
    <cellStyle name="Note 4 8 3 4 2 2" xfId="13608" xr:uid="{00000000-0005-0000-0000-0000E7340000}"/>
    <cellStyle name="Note 4 8 3 4 3" xfId="13609" xr:uid="{00000000-0005-0000-0000-0000E8340000}"/>
    <cellStyle name="Note 4 8 3 4 4" xfId="13610" xr:uid="{00000000-0005-0000-0000-0000E9340000}"/>
    <cellStyle name="Note 4 8 3 5" xfId="13611" xr:uid="{00000000-0005-0000-0000-0000EA340000}"/>
    <cellStyle name="Note 4 8 3 5 2" xfId="13612" xr:uid="{00000000-0005-0000-0000-0000EB340000}"/>
    <cellStyle name="Note 4 8 3 6" xfId="13613" xr:uid="{00000000-0005-0000-0000-0000EC340000}"/>
    <cellStyle name="Note 4 8 3 6 2" xfId="13614" xr:uid="{00000000-0005-0000-0000-0000ED340000}"/>
    <cellStyle name="Note 4 8 3 7" xfId="13615" xr:uid="{00000000-0005-0000-0000-0000EE340000}"/>
    <cellStyle name="Note 4 8 3 7 2" xfId="13616" xr:uid="{00000000-0005-0000-0000-0000EF340000}"/>
    <cellStyle name="Note 4 8 3 8" xfId="13617" xr:uid="{00000000-0005-0000-0000-0000F0340000}"/>
    <cellStyle name="Note 4 8 3 9" xfId="13618" xr:uid="{00000000-0005-0000-0000-0000F1340000}"/>
    <cellStyle name="Note 4 8 4" xfId="13619" xr:uid="{00000000-0005-0000-0000-0000F2340000}"/>
    <cellStyle name="Note 4 8 4 10" xfId="13620" xr:uid="{00000000-0005-0000-0000-0000F3340000}"/>
    <cellStyle name="Note 4 8 4 11" xfId="13621" xr:uid="{00000000-0005-0000-0000-0000F4340000}"/>
    <cellStyle name="Note 4 8 4 2" xfId="13622" xr:uid="{00000000-0005-0000-0000-0000F5340000}"/>
    <cellStyle name="Note 4 8 4 2 2" xfId="13623" xr:uid="{00000000-0005-0000-0000-0000F6340000}"/>
    <cellStyle name="Note 4 8 4 2 2 2" xfId="13624" xr:uid="{00000000-0005-0000-0000-0000F7340000}"/>
    <cellStyle name="Note 4 8 4 2 2 3" xfId="13625" xr:uid="{00000000-0005-0000-0000-0000F8340000}"/>
    <cellStyle name="Note 4 8 4 2 3" xfId="13626" xr:uid="{00000000-0005-0000-0000-0000F9340000}"/>
    <cellStyle name="Note 4 8 4 2 3 2" xfId="13627" xr:uid="{00000000-0005-0000-0000-0000FA340000}"/>
    <cellStyle name="Note 4 8 4 2 4" xfId="13628" xr:uid="{00000000-0005-0000-0000-0000FB340000}"/>
    <cellStyle name="Note 4 8 4 2 5" xfId="13629" xr:uid="{00000000-0005-0000-0000-0000FC340000}"/>
    <cellStyle name="Note 4 8 4 2 6" xfId="13630" xr:uid="{00000000-0005-0000-0000-0000FD340000}"/>
    <cellStyle name="Note 4 8 4 2 7" xfId="13631" xr:uid="{00000000-0005-0000-0000-0000FE340000}"/>
    <cellStyle name="Note 4 8 4 2 8" xfId="13632" xr:uid="{00000000-0005-0000-0000-0000FF340000}"/>
    <cellStyle name="Note 4 8 4 3" xfId="13633" xr:uid="{00000000-0005-0000-0000-000000350000}"/>
    <cellStyle name="Note 4 8 4 3 2" xfId="13634" xr:uid="{00000000-0005-0000-0000-000001350000}"/>
    <cellStyle name="Note 4 8 4 3 2 2" xfId="13635" xr:uid="{00000000-0005-0000-0000-000002350000}"/>
    <cellStyle name="Note 4 8 4 3 3" xfId="13636" xr:uid="{00000000-0005-0000-0000-000003350000}"/>
    <cellStyle name="Note 4 8 4 3 4" xfId="13637" xr:uid="{00000000-0005-0000-0000-000004350000}"/>
    <cellStyle name="Note 4 8 4 4" xfId="13638" xr:uid="{00000000-0005-0000-0000-000005350000}"/>
    <cellStyle name="Note 4 8 4 4 2" xfId="13639" xr:uid="{00000000-0005-0000-0000-000006350000}"/>
    <cellStyle name="Note 4 8 4 5" xfId="13640" xr:uid="{00000000-0005-0000-0000-000007350000}"/>
    <cellStyle name="Note 4 8 4 5 2" xfId="13641" xr:uid="{00000000-0005-0000-0000-000008350000}"/>
    <cellStyle name="Note 4 8 4 6" xfId="13642" xr:uid="{00000000-0005-0000-0000-000009350000}"/>
    <cellStyle name="Note 4 8 4 6 2" xfId="13643" xr:uid="{00000000-0005-0000-0000-00000A350000}"/>
    <cellStyle name="Note 4 8 4 7" xfId="13644" xr:uid="{00000000-0005-0000-0000-00000B350000}"/>
    <cellStyle name="Note 4 8 4 8" xfId="13645" xr:uid="{00000000-0005-0000-0000-00000C350000}"/>
    <cellStyle name="Note 4 8 4 9" xfId="13646" xr:uid="{00000000-0005-0000-0000-00000D350000}"/>
    <cellStyle name="Note 4 8 5" xfId="13647" xr:uid="{00000000-0005-0000-0000-00000E350000}"/>
    <cellStyle name="Note 4 8 5 2" xfId="13648" xr:uid="{00000000-0005-0000-0000-00000F350000}"/>
    <cellStyle name="Note 4 8 5 2 2" xfId="13649" xr:uid="{00000000-0005-0000-0000-000010350000}"/>
    <cellStyle name="Note 4 8 5 2 3" xfId="13650" xr:uid="{00000000-0005-0000-0000-000011350000}"/>
    <cellStyle name="Note 4 8 5 3" xfId="13651" xr:uid="{00000000-0005-0000-0000-000012350000}"/>
    <cellStyle name="Note 4 8 5 3 2" xfId="13652" xr:uid="{00000000-0005-0000-0000-000013350000}"/>
    <cellStyle name="Note 4 8 5 4" xfId="13653" xr:uid="{00000000-0005-0000-0000-000014350000}"/>
    <cellStyle name="Note 4 8 5 5" xfId="13654" xr:uid="{00000000-0005-0000-0000-000015350000}"/>
    <cellStyle name="Note 4 8 5 6" xfId="13655" xr:uid="{00000000-0005-0000-0000-000016350000}"/>
    <cellStyle name="Note 4 8 5 7" xfId="13656" xr:uid="{00000000-0005-0000-0000-000017350000}"/>
    <cellStyle name="Note 4 8 5 8" xfId="13657" xr:uid="{00000000-0005-0000-0000-000018350000}"/>
    <cellStyle name="Note 4 8 6" xfId="13658" xr:uid="{00000000-0005-0000-0000-000019350000}"/>
    <cellStyle name="Note 4 8 6 2" xfId="13659" xr:uid="{00000000-0005-0000-0000-00001A350000}"/>
    <cellStyle name="Note 4 8 6 2 2" xfId="13660" xr:uid="{00000000-0005-0000-0000-00001B350000}"/>
    <cellStyle name="Note 4 8 6 3" xfId="13661" xr:uid="{00000000-0005-0000-0000-00001C350000}"/>
    <cellStyle name="Note 4 8 6 4" xfId="13662" xr:uid="{00000000-0005-0000-0000-00001D350000}"/>
    <cellStyle name="Note 4 8 7" xfId="13663" xr:uid="{00000000-0005-0000-0000-00001E350000}"/>
    <cellStyle name="Note 4 8 7 2" xfId="13664" xr:uid="{00000000-0005-0000-0000-00001F350000}"/>
    <cellStyle name="Note 4 8 8" xfId="13665" xr:uid="{00000000-0005-0000-0000-000020350000}"/>
    <cellStyle name="Note 4 8 8 2" xfId="13666" xr:uid="{00000000-0005-0000-0000-000021350000}"/>
    <cellStyle name="Note 4 8 9" xfId="13667" xr:uid="{00000000-0005-0000-0000-000022350000}"/>
    <cellStyle name="Note 4 8 9 2" xfId="13668" xr:uid="{00000000-0005-0000-0000-000023350000}"/>
    <cellStyle name="Note 4 9" xfId="13669" xr:uid="{00000000-0005-0000-0000-000024350000}"/>
    <cellStyle name="Note 5" xfId="3121" xr:uid="{00000000-0005-0000-0000-000025350000}"/>
    <cellStyle name="Note 5 10" xfId="13670" xr:uid="{00000000-0005-0000-0000-000026350000}"/>
    <cellStyle name="Note 5 11" xfId="13671" xr:uid="{00000000-0005-0000-0000-000027350000}"/>
    <cellStyle name="Note 5 11 10" xfId="13672" xr:uid="{00000000-0005-0000-0000-000028350000}"/>
    <cellStyle name="Note 5 11 11" xfId="13673" xr:uid="{00000000-0005-0000-0000-000029350000}"/>
    <cellStyle name="Note 5 11 12" xfId="13674" xr:uid="{00000000-0005-0000-0000-00002A350000}"/>
    <cellStyle name="Note 5 11 13" xfId="13675" xr:uid="{00000000-0005-0000-0000-00002B350000}"/>
    <cellStyle name="Note 5 11 2" xfId="13676" xr:uid="{00000000-0005-0000-0000-00002C350000}"/>
    <cellStyle name="Note 5 11 2 10" xfId="13677" xr:uid="{00000000-0005-0000-0000-00002D350000}"/>
    <cellStyle name="Note 5 11 2 11" xfId="13678" xr:uid="{00000000-0005-0000-0000-00002E350000}"/>
    <cellStyle name="Note 5 11 2 12" xfId="13679" xr:uid="{00000000-0005-0000-0000-00002F350000}"/>
    <cellStyle name="Note 5 11 2 2" xfId="13680" xr:uid="{00000000-0005-0000-0000-000030350000}"/>
    <cellStyle name="Note 5 11 2 2 10" xfId="13681" xr:uid="{00000000-0005-0000-0000-000031350000}"/>
    <cellStyle name="Note 5 11 2 2 11" xfId="13682" xr:uid="{00000000-0005-0000-0000-000032350000}"/>
    <cellStyle name="Note 5 11 2 2 2" xfId="13683" xr:uid="{00000000-0005-0000-0000-000033350000}"/>
    <cellStyle name="Note 5 11 2 2 2 2" xfId="13684" xr:uid="{00000000-0005-0000-0000-000034350000}"/>
    <cellStyle name="Note 5 11 2 2 2 2 2" xfId="13685" xr:uid="{00000000-0005-0000-0000-000035350000}"/>
    <cellStyle name="Note 5 11 2 2 2 2 3" xfId="13686" xr:uid="{00000000-0005-0000-0000-000036350000}"/>
    <cellStyle name="Note 5 11 2 2 2 3" xfId="13687" xr:uid="{00000000-0005-0000-0000-000037350000}"/>
    <cellStyle name="Note 5 11 2 2 2 3 2" xfId="13688" xr:uid="{00000000-0005-0000-0000-000038350000}"/>
    <cellStyle name="Note 5 11 2 2 2 4" xfId="13689" xr:uid="{00000000-0005-0000-0000-000039350000}"/>
    <cellStyle name="Note 5 11 2 2 2 5" xfId="13690" xr:uid="{00000000-0005-0000-0000-00003A350000}"/>
    <cellStyle name="Note 5 11 2 2 2 6" xfId="13691" xr:uid="{00000000-0005-0000-0000-00003B350000}"/>
    <cellStyle name="Note 5 11 2 2 2 7" xfId="13692" xr:uid="{00000000-0005-0000-0000-00003C350000}"/>
    <cellStyle name="Note 5 11 2 2 2 8" xfId="13693" xr:uid="{00000000-0005-0000-0000-00003D350000}"/>
    <cellStyle name="Note 5 11 2 2 3" xfId="13694" xr:uid="{00000000-0005-0000-0000-00003E350000}"/>
    <cellStyle name="Note 5 11 2 2 3 2" xfId="13695" xr:uid="{00000000-0005-0000-0000-00003F350000}"/>
    <cellStyle name="Note 5 11 2 2 3 2 2" xfId="13696" xr:uid="{00000000-0005-0000-0000-000040350000}"/>
    <cellStyle name="Note 5 11 2 2 3 3" xfId="13697" xr:uid="{00000000-0005-0000-0000-000041350000}"/>
    <cellStyle name="Note 5 11 2 2 3 4" xfId="13698" xr:uid="{00000000-0005-0000-0000-000042350000}"/>
    <cellStyle name="Note 5 11 2 2 4" xfId="13699" xr:uid="{00000000-0005-0000-0000-000043350000}"/>
    <cellStyle name="Note 5 11 2 2 4 2" xfId="13700" xr:uid="{00000000-0005-0000-0000-000044350000}"/>
    <cellStyle name="Note 5 11 2 2 5" xfId="13701" xr:uid="{00000000-0005-0000-0000-000045350000}"/>
    <cellStyle name="Note 5 11 2 2 5 2" xfId="13702" xr:uid="{00000000-0005-0000-0000-000046350000}"/>
    <cellStyle name="Note 5 11 2 2 6" xfId="13703" xr:uid="{00000000-0005-0000-0000-000047350000}"/>
    <cellStyle name="Note 5 11 2 2 6 2" xfId="13704" xr:uid="{00000000-0005-0000-0000-000048350000}"/>
    <cellStyle name="Note 5 11 2 2 7" xfId="13705" xr:uid="{00000000-0005-0000-0000-000049350000}"/>
    <cellStyle name="Note 5 11 2 2 8" xfId="13706" xr:uid="{00000000-0005-0000-0000-00004A350000}"/>
    <cellStyle name="Note 5 11 2 2 9" xfId="13707" xr:uid="{00000000-0005-0000-0000-00004B350000}"/>
    <cellStyle name="Note 5 11 2 3" xfId="13708" xr:uid="{00000000-0005-0000-0000-00004C350000}"/>
    <cellStyle name="Note 5 11 2 3 2" xfId="13709" xr:uid="{00000000-0005-0000-0000-00004D350000}"/>
    <cellStyle name="Note 5 11 2 3 2 2" xfId="13710" xr:uid="{00000000-0005-0000-0000-00004E350000}"/>
    <cellStyle name="Note 5 11 2 3 2 3" xfId="13711" xr:uid="{00000000-0005-0000-0000-00004F350000}"/>
    <cellStyle name="Note 5 11 2 3 3" xfId="13712" xr:uid="{00000000-0005-0000-0000-000050350000}"/>
    <cellStyle name="Note 5 11 2 3 3 2" xfId="13713" xr:uid="{00000000-0005-0000-0000-000051350000}"/>
    <cellStyle name="Note 5 11 2 3 4" xfId="13714" xr:uid="{00000000-0005-0000-0000-000052350000}"/>
    <cellStyle name="Note 5 11 2 3 5" xfId="13715" xr:uid="{00000000-0005-0000-0000-000053350000}"/>
    <cellStyle name="Note 5 11 2 3 6" xfId="13716" xr:uid="{00000000-0005-0000-0000-000054350000}"/>
    <cellStyle name="Note 5 11 2 3 7" xfId="13717" xr:uid="{00000000-0005-0000-0000-000055350000}"/>
    <cellStyle name="Note 5 11 2 3 8" xfId="13718" xr:uid="{00000000-0005-0000-0000-000056350000}"/>
    <cellStyle name="Note 5 11 2 4" xfId="13719" xr:uid="{00000000-0005-0000-0000-000057350000}"/>
    <cellStyle name="Note 5 11 2 4 2" xfId="13720" xr:uid="{00000000-0005-0000-0000-000058350000}"/>
    <cellStyle name="Note 5 11 2 4 2 2" xfId="13721" xr:uid="{00000000-0005-0000-0000-000059350000}"/>
    <cellStyle name="Note 5 11 2 4 3" xfId="13722" xr:uid="{00000000-0005-0000-0000-00005A350000}"/>
    <cellStyle name="Note 5 11 2 4 4" xfId="13723" xr:uid="{00000000-0005-0000-0000-00005B350000}"/>
    <cellStyle name="Note 5 11 2 5" xfId="13724" xr:uid="{00000000-0005-0000-0000-00005C350000}"/>
    <cellStyle name="Note 5 11 2 5 2" xfId="13725" xr:uid="{00000000-0005-0000-0000-00005D350000}"/>
    <cellStyle name="Note 5 11 2 6" xfId="13726" xr:uid="{00000000-0005-0000-0000-00005E350000}"/>
    <cellStyle name="Note 5 11 2 6 2" xfId="13727" xr:uid="{00000000-0005-0000-0000-00005F350000}"/>
    <cellStyle name="Note 5 11 2 7" xfId="13728" xr:uid="{00000000-0005-0000-0000-000060350000}"/>
    <cellStyle name="Note 5 11 2 7 2" xfId="13729" xr:uid="{00000000-0005-0000-0000-000061350000}"/>
    <cellStyle name="Note 5 11 2 8" xfId="13730" xr:uid="{00000000-0005-0000-0000-000062350000}"/>
    <cellStyle name="Note 5 11 2 9" xfId="13731" xr:uid="{00000000-0005-0000-0000-000063350000}"/>
    <cellStyle name="Note 5 11 3" xfId="13732" xr:uid="{00000000-0005-0000-0000-000064350000}"/>
    <cellStyle name="Note 5 11 3 10" xfId="13733" xr:uid="{00000000-0005-0000-0000-000065350000}"/>
    <cellStyle name="Note 5 11 3 11" xfId="13734" xr:uid="{00000000-0005-0000-0000-000066350000}"/>
    <cellStyle name="Note 5 11 3 2" xfId="13735" xr:uid="{00000000-0005-0000-0000-000067350000}"/>
    <cellStyle name="Note 5 11 3 2 2" xfId="13736" xr:uid="{00000000-0005-0000-0000-000068350000}"/>
    <cellStyle name="Note 5 11 3 2 2 2" xfId="13737" xr:uid="{00000000-0005-0000-0000-000069350000}"/>
    <cellStyle name="Note 5 11 3 2 2 3" xfId="13738" xr:uid="{00000000-0005-0000-0000-00006A350000}"/>
    <cellStyle name="Note 5 11 3 2 3" xfId="13739" xr:uid="{00000000-0005-0000-0000-00006B350000}"/>
    <cellStyle name="Note 5 11 3 2 3 2" xfId="13740" xr:uid="{00000000-0005-0000-0000-00006C350000}"/>
    <cellStyle name="Note 5 11 3 2 4" xfId="13741" xr:uid="{00000000-0005-0000-0000-00006D350000}"/>
    <cellStyle name="Note 5 11 3 2 5" xfId="13742" xr:uid="{00000000-0005-0000-0000-00006E350000}"/>
    <cellStyle name="Note 5 11 3 2 6" xfId="13743" xr:uid="{00000000-0005-0000-0000-00006F350000}"/>
    <cellStyle name="Note 5 11 3 2 7" xfId="13744" xr:uid="{00000000-0005-0000-0000-000070350000}"/>
    <cellStyle name="Note 5 11 3 2 8" xfId="13745" xr:uid="{00000000-0005-0000-0000-000071350000}"/>
    <cellStyle name="Note 5 11 3 3" xfId="13746" xr:uid="{00000000-0005-0000-0000-000072350000}"/>
    <cellStyle name="Note 5 11 3 3 2" xfId="13747" xr:uid="{00000000-0005-0000-0000-000073350000}"/>
    <cellStyle name="Note 5 11 3 3 2 2" xfId="13748" xr:uid="{00000000-0005-0000-0000-000074350000}"/>
    <cellStyle name="Note 5 11 3 3 3" xfId="13749" xr:uid="{00000000-0005-0000-0000-000075350000}"/>
    <cellStyle name="Note 5 11 3 3 4" xfId="13750" xr:uid="{00000000-0005-0000-0000-000076350000}"/>
    <cellStyle name="Note 5 11 3 4" xfId="13751" xr:uid="{00000000-0005-0000-0000-000077350000}"/>
    <cellStyle name="Note 5 11 3 4 2" xfId="13752" xr:uid="{00000000-0005-0000-0000-000078350000}"/>
    <cellStyle name="Note 5 11 3 5" xfId="13753" xr:uid="{00000000-0005-0000-0000-000079350000}"/>
    <cellStyle name="Note 5 11 3 5 2" xfId="13754" xr:uid="{00000000-0005-0000-0000-00007A350000}"/>
    <cellStyle name="Note 5 11 3 6" xfId="13755" xr:uid="{00000000-0005-0000-0000-00007B350000}"/>
    <cellStyle name="Note 5 11 3 6 2" xfId="13756" xr:uid="{00000000-0005-0000-0000-00007C350000}"/>
    <cellStyle name="Note 5 11 3 7" xfId="13757" xr:uid="{00000000-0005-0000-0000-00007D350000}"/>
    <cellStyle name="Note 5 11 3 8" xfId="13758" xr:uid="{00000000-0005-0000-0000-00007E350000}"/>
    <cellStyle name="Note 5 11 3 9" xfId="13759" xr:uid="{00000000-0005-0000-0000-00007F350000}"/>
    <cellStyle name="Note 5 11 4" xfId="13760" xr:uid="{00000000-0005-0000-0000-000080350000}"/>
    <cellStyle name="Note 5 11 4 2" xfId="13761" xr:uid="{00000000-0005-0000-0000-000081350000}"/>
    <cellStyle name="Note 5 11 4 2 2" xfId="13762" xr:uid="{00000000-0005-0000-0000-000082350000}"/>
    <cellStyle name="Note 5 11 4 2 3" xfId="13763" xr:uid="{00000000-0005-0000-0000-000083350000}"/>
    <cellStyle name="Note 5 11 4 3" xfId="13764" xr:uid="{00000000-0005-0000-0000-000084350000}"/>
    <cellStyle name="Note 5 11 4 3 2" xfId="13765" xr:uid="{00000000-0005-0000-0000-000085350000}"/>
    <cellStyle name="Note 5 11 4 4" xfId="13766" xr:uid="{00000000-0005-0000-0000-000086350000}"/>
    <cellStyle name="Note 5 11 4 5" xfId="13767" xr:uid="{00000000-0005-0000-0000-000087350000}"/>
    <cellStyle name="Note 5 11 4 6" xfId="13768" xr:uid="{00000000-0005-0000-0000-000088350000}"/>
    <cellStyle name="Note 5 11 4 7" xfId="13769" xr:uid="{00000000-0005-0000-0000-000089350000}"/>
    <cellStyle name="Note 5 11 4 8" xfId="13770" xr:uid="{00000000-0005-0000-0000-00008A350000}"/>
    <cellStyle name="Note 5 11 5" xfId="13771" xr:uid="{00000000-0005-0000-0000-00008B350000}"/>
    <cellStyle name="Note 5 11 5 2" xfId="13772" xr:uid="{00000000-0005-0000-0000-00008C350000}"/>
    <cellStyle name="Note 5 11 5 2 2" xfId="13773" xr:uid="{00000000-0005-0000-0000-00008D350000}"/>
    <cellStyle name="Note 5 11 5 3" xfId="13774" xr:uid="{00000000-0005-0000-0000-00008E350000}"/>
    <cellStyle name="Note 5 11 5 4" xfId="13775" xr:uid="{00000000-0005-0000-0000-00008F350000}"/>
    <cellStyle name="Note 5 11 6" xfId="13776" xr:uid="{00000000-0005-0000-0000-000090350000}"/>
    <cellStyle name="Note 5 11 6 2" xfId="13777" xr:uid="{00000000-0005-0000-0000-000091350000}"/>
    <cellStyle name="Note 5 11 7" xfId="13778" xr:uid="{00000000-0005-0000-0000-000092350000}"/>
    <cellStyle name="Note 5 11 7 2" xfId="13779" xr:uid="{00000000-0005-0000-0000-000093350000}"/>
    <cellStyle name="Note 5 11 8" xfId="13780" xr:uid="{00000000-0005-0000-0000-000094350000}"/>
    <cellStyle name="Note 5 11 8 2" xfId="13781" xr:uid="{00000000-0005-0000-0000-000095350000}"/>
    <cellStyle name="Note 5 11 9" xfId="13782" xr:uid="{00000000-0005-0000-0000-000096350000}"/>
    <cellStyle name="Note 5 12" xfId="13783" xr:uid="{00000000-0005-0000-0000-000097350000}"/>
    <cellStyle name="Note 5 12 10" xfId="13784" xr:uid="{00000000-0005-0000-0000-000098350000}"/>
    <cellStyle name="Note 5 12 11" xfId="13785" xr:uid="{00000000-0005-0000-0000-000099350000}"/>
    <cellStyle name="Note 5 12 12" xfId="13786" xr:uid="{00000000-0005-0000-0000-00009A350000}"/>
    <cellStyle name="Note 5 12 2" xfId="13787" xr:uid="{00000000-0005-0000-0000-00009B350000}"/>
    <cellStyle name="Note 5 12 2 10" xfId="13788" xr:uid="{00000000-0005-0000-0000-00009C350000}"/>
    <cellStyle name="Note 5 12 2 11" xfId="13789" xr:uid="{00000000-0005-0000-0000-00009D350000}"/>
    <cellStyle name="Note 5 12 2 2" xfId="13790" xr:uid="{00000000-0005-0000-0000-00009E350000}"/>
    <cellStyle name="Note 5 12 2 2 2" xfId="13791" xr:uid="{00000000-0005-0000-0000-00009F350000}"/>
    <cellStyle name="Note 5 12 2 2 2 2" xfId="13792" xr:uid="{00000000-0005-0000-0000-0000A0350000}"/>
    <cellStyle name="Note 5 12 2 2 2 3" xfId="13793" xr:uid="{00000000-0005-0000-0000-0000A1350000}"/>
    <cellStyle name="Note 5 12 2 2 3" xfId="13794" xr:uid="{00000000-0005-0000-0000-0000A2350000}"/>
    <cellStyle name="Note 5 12 2 2 3 2" xfId="13795" xr:uid="{00000000-0005-0000-0000-0000A3350000}"/>
    <cellStyle name="Note 5 12 2 2 4" xfId="13796" xr:uid="{00000000-0005-0000-0000-0000A4350000}"/>
    <cellStyle name="Note 5 12 2 2 5" xfId="13797" xr:uid="{00000000-0005-0000-0000-0000A5350000}"/>
    <cellStyle name="Note 5 12 2 2 6" xfId="13798" xr:uid="{00000000-0005-0000-0000-0000A6350000}"/>
    <cellStyle name="Note 5 12 2 2 7" xfId="13799" xr:uid="{00000000-0005-0000-0000-0000A7350000}"/>
    <cellStyle name="Note 5 12 2 2 8" xfId="13800" xr:uid="{00000000-0005-0000-0000-0000A8350000}"/>
    <cellStyle name="Note 5 12 2 3" xfId="13801" xr:uid="{00000000-0005-0000-0000-0000A9350000}"/>
    <cellStyle name="Note 5 12 2 3 2" xfId="13802" xr:uid="{00000000-0005-0000-0000-0000AA350000}"/>
    <cellStyle name="Note 5 12 2 3 2 2" xfId="13803" xr:uid="{00000000-0005-0000-0000-0000AB350000}"/>
    <cellStyle name="Note 5 12 2 3 3" xfId="13804" xr:uid="{00000000-0005-0000-0000-0000AC350000}"/>
    <cellStyle name="Note 5 12 2 3 4" xfId="13805" xr:uid="{00000000-0005-0000-0000-0000AD350000}"/>
    <cellStyle name="Note 5 12 2 4" xfId="13806" xr:uid="{00000000-0005-0000-0000-0000AE350000}"/>
    <cellStyle name="Note 5 12 2 4 2" xfId="13807" xr:uid="{00000000-0005-0000-0000-0000AF350000}"/>
    <cellStyle name="Note 5 12 2 5" xfId="13808" xr:uid="{00000000-0005-0000-0000-0000B0350000}"/>
    <cellStyle name="Note 5 12 2 5 2" xfId="13809" xr:uid="{00000000-0005-0000-0000-0000B1350000}"/>
    <cellStyle name="Note 5 12 2 6" xfId="13810" xr:uid="{00000000-0005-0000-0000-0000B2350000}"/>
    <cellStyle name="Note 5 12 2 6 2" xfId="13811" xr:uid="{00000000-0005-0000-0000-0000B3350000}"/>
    <cellStyle name="Note 5 12 2 7" xfId="13812" xr:uid="{00000000-0005-0000-0000-0000B4350000}"/>
    <cellStyle name="Note 5 12 2 8" xfId="13813" xr:uid="{00000000-0005-0000-0000-0000B5350000}"/>
    <cellStyle name="Note 5 12 2 9" xfId="13814" xr:uid="{00000000-0005-0000-0000-0000B6350000}"/>
    <cellStyle name="Note 5 12 3" xfId="13815" xr:uid="{00000000-0005-0000-0000-0000B7350000}"/>
    <cellStyle name="Note 5 12 3 2" xfId="13816" xr:uid="{00000000-0005-0000-0000-0000B8350000}"/>
    <cellStyle name="Note 5 12 3 2 2" xfId="13817" xr:uid="{00000000-0005-0000-0000-0000B9350000}"/>
    <cellStyle name="Note 5 12 3 2 3" xfId="13818" xr:uid="{00000000-0005-0000-0000-0000BA350000}"/>
    <cellStyle name="Note 5 12 3 3" xfId="13819" xr:uid="{00000000-0005-0000-0000-0000BB350000}"/>
    <cellStyle name="Note 5 12 3 3 2" xfId="13820" xr:uid="{00000000-0005-0000-0000-0000BC350000}"/>
    <cellStyle name="Note 5 12 3 4" xfId="13821" xr:uid="{00000000-0005-0000-0000-0000BD350000}"/>
    <cellStyle name="Note 5 12 3 5" xfId="13822" xr:uid="{00000000-0005-0000-0000-0000BE350000}"/>
    <cellStyle name="Note 5 12 3 6" xfId="13823" xr:uid="{00000000-0005-0000-0000-0000BF350000}"/>
    <cellStyle name="Note 5 12 3 7" xfId="13824" xr:uid="{00000000-0005-0000-0000-0000C0350000}"/>
    <cellStyle name="Note 5 12 3 8" xfId="13825" xr:uid="{00000000-0005-0000-0000-0000C1350000}"/>
    <cellStyle name="Note 5 12 4" xfId="13826" xr:uid="{00000000-0005-0000-0000-0000C2350000}"/>
    <cellStyle name="Note 5 12 4 2" xfId="13827" xr:uid="{00000000-0005-0000-0000-0000C3350000}"/>
    <cellStyle name="Note 5 12 4 2 2" xfId="13828" xr:uid="{00000000-0005-0000-0000-0000C4350000}"/>
    <cellStyle name="Note 5 12 4 3" xfId="13829" xr:uid="{00000000-0005-0000-0000-0000C5350000}"/>
    <cellStyle name="Note 5 12 4 4" xfId="13830" xr:uid="{00000000-0005-0000-0000-0000C6350000}"/>
    <cellStyle name="Note 5 12 5" xfId="13831" xr:uid="{00000000-0005-0000-0000-0000C7350000}"/>
    <cellStyle name="Note 5 12 5 2" xfId="13832" xr:uid="{00000000-0005-0000-0000-0000C8350000}"/>
    <cellStyle name="Note 5 12 6" xfId="13833" xr:uid="{00000000-0005-0000-0000-0000C9350000}"/>
    <cellStyle name="Note 5 12 6 2" xfId="13834" xr:uid="{00000000-0005-0000-0000-0000CA350000}"/>
    <cellStyle name="Note 5 12 7" xfId="13835" xr:uid="{00000000-0005-0000-0000-0000CB350000}"/>
    <cellStyle name="Note 5 12 7 2" xfId="13836" xr:uid="{00000000-0005-0000-0000-0000CC350000}"/>
    <cellStyle name="Note 5 12 8" xfId="13837" xr:uid="{00000000-0005-0000-0000-0000CD350000}"/>
    <cellStyle name="Note 5 12 9" xfId="13838" xr:uid="{00000000-0005-0000-0000-0000CE350000}"/>
    <cellStyle name="Note 5 13" xfId="13839" xr:uid="{00000000-0005-0000-0000-0000CF350000}"/>
    <cellStyle name="Note 5 13 10" xfId="13840" xr:uid="{00000000-0005-0000-0000-0000D0350000}"/>
    <cellStyle name="Note 5 13 11" xfId="13841" xr:uid="{00000000-0005-0000-0000-0000D1350000}"/>
    <cellStyle name="Note 5 13 2" xfId="13842" xr:uid="{00000000-0005-0000-0000-0000D2350000}"/>
    <cellStyle name="Note 5 13 2 2" xfId="13843" xr:uid="{00000000-0005-0000-0000-0000D3350000}"/>
    <cellStyle name="Note 5 13 2 2 2" xfId="13844" xr:uid="{00000000-0005-0000-0000-0000D4350000}"/>
    <cellStyle name="Note 5 13 2 2 3" xfId="13845" xr:uid="{00000000-0005-0000-0000-0000D5350000}"/>
    <cellStyle name="Note 5 13 2 3" xfId="13846" xr:uid="{00000000-0005-0000-0000-0000D6350000}"/>
    <cellStyle name="Note 5 13 2 3 2" xfId="13847" xr:uid="{00000000-0005-0000-0000-0000D7350000}"/>
    <cellStyle name="Note 5 13 2 4" xfId="13848" xr:uid="{00000000-0005-0000-0000-0000D8350000}"/>
    <cellStyle name="Note 5 13 2 5" xfId="13849" xr:uid="{00000000-0005-0000-0000-0000D9350000}"/>
    <cellStyle name="Note 5 13 2 6" xfId="13850" xr:uid="{00000000-0005-0000-0000-0000DA350000}"/>
    <cellStyle name="Note 5 13 2 7" xfId="13851" xr:uid="{00000000-0005-0000-0000-0000DB350000}"/>
    <cellStyle name="Note 5 13 2 8" xfId="13852" xr:uid="{00000000-0005-0000-0000-0000DC350000}"/>
    <cellStyle name="Note 5 13 3" xfId="13853" xr:uid="{00000000-0005-0000-0000-0000DD350000}"/>
    <cellStyle name="Note 5 13 3 2" xfId="13854" xr:uid="{00000000-0005-0000-0000-0000DE350000}"/>
    <cellStyle name="Note 5 13 3 2 2" xfId="13855" xr:uid="{00000000-0005-0000-0000-0000DF350000}"/>
    <cellStyle name="Note 5 13 3 3" xfId="13856" xr:uid="{00000000-0005-0000-0000-0000E0350000}"/>
    <cellStyle name="Note 5 13 3 4" xfId="13857" xr:uid="{00000000-0005-0000-0000-0000E1350000}"/>
    <cellStyle name="Note 5 13 4" xfId="13858" xr:uid="{00000000-0005-0000-0000-0000E2350000}"/>
    <cellStyle name="Note 5 13 4 2" xfId="13859" xr:uid="{00000000-0005-0000-0000-0000E3350000}"/>
    <cellStyle name="Note 5 13 5" xfId="13860" xr:uid="{00000000-0005-0000-0000-0000E4350000}"/>
    <cellStyle name="Note 5 13 5 2" xfId="13861" xr:uid="{00000000-0005-0000-0000-0000E5350000}"/>
    <cellStyle name="Note 5 13 6" xfId="13862" xr:uid="{00000000-0005-0000-0000-0000E6350000}"/>
    <cellStyle name="Note 5 13 6 2" xfId="13863" xr:uid="{00000000-0005-0000-0000-0000E7350000}"/>
    <cellStyle name="Note 5 13 7" xfId="13864" xr:uid="{00000000-0005-0000-0000-0000E8350000}"/>
    <cellStyle name="Note 5 13 8" xfId="13865" xr:uid="{00000000-0005-0000-0000-0000E9350000}"/>
    <cellStyle name="Note 5 13 9" xfId="13866" xr:uid="{00000000-0005-0000-0000-0000EA350000}"/>
    <cellStyle name="Note 5 14" xfId="13867" xr:uid="{00000000-0005-0000-0000-0000EB350000}"/>
    <cellStyle name="Note 5 14 2" xfId="13868" xr:uid="{00000000-0005-0000-0000-0000EC350000}"/>
    <cellStyle name="Note 5 14 2 2" xfId="13869" xr:uid="{00000000-0005-0000-0000-0000ED350000}"/>
    <cellStyle name="Note 5 14 2 3" xfId="13870" xr:uid="{00000000-0005-0000-0000-0000EE350000}"/>
    <cellStyle name="Note 5 14 3" xfId="13871" xr:uid="{00000000-0005-0000-0000-0000EF350000}"/>
    <cellStyle name="Note 5 14 3 2" xfId="13872" xr:uid="{00000000-0005-0000-0000-0000F0350000}"/>
    <cellStyle name="Note 5 14 4" xfId="13873" xr:uid="{00000000-0005-0000-0000-0000F1350000}"/>
    <cellStyle name="Note 5 14 5" xfId="13874" xr:uid="{00000000-0005-0000-0000-0000F2350000}"/>
    <cellStyle name="Note 5 14 6" xfId="13875" xr:uid="{00000000-0005-0000-0000-0000F3350000}"/>
    <cellStyle name="Note 5 14 7" xfId="13876" xr:uid="{00000000-0005-0000-0000-0000F4350000}"/>
    <cellStyle name="Note 5 14 8" xfId="13877" xr:uid="{00000000-0005-0000-0000-0000F5350000}"/>
    <cellStyle name="Note 5 15" xfId="13878" xr:uid="{00000000-0005-0000-0000-0000F6350000}"/>
    <cellStyle name="Note 5 15 2" xfId="13879" xr:uid="{00000000-0005-0000-0000-0000F7350000}"/>
    <cellStyle name="Note 5 15 2 2" xfId="13880" xr:uid="{00000000-0005-0000-0000-0000F8350000}"/>
    <cellStyle name="Note 5 15 3" xfId="13881" xr:uid="{00000000-0005-0000-0000-0000F9350000}"/>
    <cellStyle name="Note 5 15 4" xfId="13882" xr:uid="{00000000-0005-0000-0000-0000FA350000}"/>
    <cellStyle name="Note 5 16" xfId="13883" xr:uid="{00000000-0005-0000-0000-0000FB350000}"/>
    <cellStyle name="Note 5 16 2" xfId="13884" xr:uid="{00000000-0005-0000-0000-0000FC350000}"/>
    <cellStyle name="Note 5 17" xfId="13885" xr:uid="{00000000-0005-0000-0000-0000FD350000}"/>
    <cellStyle name="Note 5 17 2" xfId="13886" xr:uid="{00000000-0005-0000-0000-0000FE350000}"/>
    <cellStyle name="Note 5 18" xfId="13887" xr:uid="{00000000-0005-0000-0000-0000FF350000}"/>
    <cellStyle name="Note 5 18 2" xfId="13888" xr:uid="{00000000-0005-0000-0000-000000360000}"/>
    <cellStyle name="Note 5 19" xfId="13889" xr:uid="{00000000-0005-0000-0000-000001360000}"/>
    <cellStyle name="Note 5 2" xfId="13890" xr:uid="{00000000-0005-0000-0000-000002360000}"/>
    <cellStyle name="Note 5 2 2" xfId="13891" xr:uid="{00000000-0005-0000-0000-000003360000}"/>
    <cellStyle name="Note 5 20" xfId="13892" xr:uid="{00000000-0005-0000-0000-000004360000}"/>
    <cellStyle name="Note 5 21" xfId="13893" xr:uid="{00000000-0005-0000-0000-000005360000}"/>
    <cellStyle name="Note 5 22" xfId="13894" xr:uid="{00000000-0005-0000-0000-000006360000}"/>
    <cellStyle name="Note 5 23" xfId="13895" xr:uid="{00000000-0005-0000-0000-000007360000}"/>
    <cellStyle name="Note 5 24" xfId="13896" xr:uid="{00000000-0005-0000-0000-000008360000}"/>
    <cellStyle name="Note 5 3" xfId="13897" xr:uid="{00000000-0005-0000-0000-000009360000}"/>
    <cellStyle name="Note 5 3 2" xfId="13898" xr:uid="{00000000-0005-0000-0000-00000A360000}"/>
    <cellStyle name="Note 5 4" xfId="13899" xr:uid="{00000000-0005-0000-0000-00000B360000}"/>
    <cellStyle name="Note 5 4 2" xfId="13900" xr:uid="{00000000-0005-0000-0000-00000C360000}"/>
    <cellStyle name="Note 5 5" xfId="13901" xr:uid="{00000000-0005-0000-0000-00000D360000}"/>
    <cellStyle name="Note 5 6" xfId="13902" xr:uid="{00000000-0005-0000-0000-00000E360000}"/>
    <cellStyle name="Note 5 7" xfId="13903" xr:uid="{00000000-0005-0000-0000-00000F360000}"/>
    <cellStyle name="Note 5 8" xfId="13904" xr:uid="{00000000-0005-0000-0000-000010360000}"/>
    <cellStyle name="Note 5 8 10" xfId="13905" xr:uid="{00000000-0005-0000-0000-000011360000}"/>
    <cellStyle name="Note 5 8 11" xfId="13906" xr:uid="{00000000-0005-0000-0000-000012360000}"/>
    <cellStyle name="Note 5 8 12" xfId="13907" xr:uid="{00000000-0005-0000-0000-000013360000}"/>
    <cellStyle name="Note 5 8 13" xfId="13908" xr:uid="{00000000-0005-0000-0000-000014360000}"/>
    <cellStyle name="Note 5 8 14" xfId="13909" xr:uid="{00000000-0005-0000-0000-000015360000}"/>
    <cellStyle name="Note 5 8 2" xfId="13910" xr:uid="{00000000-0005-0000-0000-000016360000}"/>
    <cellStyle name="Note 5 8 2 10" xfId="13911" xr:uid="{00000000-0005-0000-0000-000017360000}"/>
    <cellStyle name="Note 5 8 2 11" xfId="13912" xr:uid="{00000000-0005-0000-0000-000018360000}"/>
    <cellStyle name="Note 5 8 2 12" xfId="13913" xr:uid="{00000000-0005-0000-0000-000019360000}"/>
    <cellStyle name="Note 5 8 2 13" xfId="13914" xr:uid="{00000000-0005-0000-0000-00001A360000}"/>
    <cellStyle name="Note 5 8 2 2" xfId="13915" xr:uid="{00000000-0005-0000-0000-00001B360000}"/>
    <cellStyle name="Note 5 8 2 2 10" xfId="13916" xr:uid="{00000000-0005-0000-0000-00001C360000}"/>
    <cellStyle name="Note 5 8 2 2 11" xfId="13917" xr:uid="{00000000-0005-0000-0000-00001D360000}"/>
    <cellStyle name="Note 5 8 2 2 12" xfId="13918" xr:uid="{00000000-0005-0000-0000-00001E360000}"/>
    <cellStyle name="Note 5 8 2 2 2" xfId="13919" xr:uid="{00000000-0005-0000-0000-00001F360000}"/>
    <cellStyle name="Note 5 8 2 2 2 10" xfId="13920" xr:uid="{00000000-0005-0000-0000-000020360000}"/>
    <cellStyle name="Note 5 8 2 2 2 11" xfId="13921" xr:uid="{00000000-0005-0000-0000-000021360000}"/>
    <cellStyle name="Note 5 8 2 2 2 2" xfId="13922" xr:uid="{00000000-0005-0000-0000-000022360000}"/>
    <cellStyle name="Note 5 8 2 2 2 2 2" xfId="13923" xr:uid="{00000000-0005-0000-0000-000023360000}"/>
    <cellStyle name="Note 5 8 2 2 2 2 2 2" xfId="13924" xr:uid="{00000000-0005-0000-0000-000024360000}"/>
    <cellStyle name="Note 5 8 2 2 2 2 2 3" xfId="13925" xr:uid="{00000000-0005-0000-0000-000025360000}"/>
    <cellStyle name="Note 5 8 2 2 2 2 3" xfId="13926" xr:uid="{00000000-0005-0000-0000-000026360000}"/>
    <cellStyle name="Note 5 8 2 2 2 2 3 2" xfId="13927" xr:uid="{00000000-0005-0000-0000-000027360000}"/>
    <cellStyle name="Note 5 8 2 2 2 2 4" xfId="13928" xr:uid="{00000000-0005-0000-0000-000028360000}"/>
    <cellStyle name="Note 5 8 2 2 2 2 5" xfId="13929" xr:uid="{00000000-0005-0000-0000-000029360000}"/>
    <cellStyle name="Note 5 8 2 2 2 2 6" xfId="13930" xr:uid="{00000000-0005-0000-0000-00002A360000}"/>
    <cellStyle name="Note 5 8 2 2 2 2 7" xfId="13931" xr:uid="{00000000-0005-0000-0000-00002B360000}"/>
    <cellStyle name="Note 5 8 2 2 2 2 8" xfId="13932" xr:uid="{00000000-0005-0000-0000-00002C360000}"/>
    <cellStyle name="Note 5 8 2 2 2 3" xfId="13933" xr:uid="{00000000-0005-0000-0000-00002D360000}"/>
    <cellStyle name="Note 5 8 2 2 2 3 2" xfId="13934" xr:uid="{00000000-0005-0000-0000-00002E360000}"/>
    <cellStyle name="Note 5 8 2 2 2 3 2 2" xfId="13935" xr:uid="{00000000-0005-0000-0000-00002F360000}"/>
    <cellStyle name="Note 5 8 2 2 2 3 3" xfId="13936" xr:uid="{00000000-0005-0000-0000-000030360000}"/>
    <cellStyle name="Note 5 8 2 2 2 3 4" xfId="13937" xr:uid="{00000000-0005-0000-0000-000031360000}"/>
    <cellStyle name="Note 5 8 2 2 2 4" xfId="13938" xr:uid="{00000000-0005-0000-0000-000032360000}"/>
    <cellStyle name="Note 5 8 2 2 2 4 2" xfId="13939" xr:uid="{00000000-0005-0000-0000-000033360000}"/>
    <cellStyle name="Note 5 8 2 2 2 5" xfId="13940" xr:uid="{00000000-0005-0000-0000-000034360000}"/>
    <cellStyle name="Note 5 8 2 2 2 5 2" xfId="13941" xr:uid="{00000000-0005-0000-0000-000035360000}"/>
    <cellStyle name="Note 5 8 2 2 2 6" xfId="13942" xr:uid="{00000000-0005-0000-0000-000036360000}"/>
    <cellStyle name="Note 5 8 2 2 2 6 2" xfId="13943" xr:uid="{00000000-0005-0000-0000-000037360000}"/>
    <cellStyle name="Note 5 8 2 2 2 7" xfId="13944" xr:uid="{00000000-0005-0000-0000-000038360000}"/>
    <cellStyle name="Note 5 8 2 2 2 8" xfId="13945" xr:uid="{00000000-0005-0000-0000-000039360000}"/>
    <cellStyle name="Note 5 8 2 2 2 9" xfId="13946" xr:uid="{00000000-0005-0000-0000-00003A360000}"/>
    <cellStyle name="Note 5 8 2 2 3" xfId="13947" xr:uid="{00000000-0005-0000-0000-00003B360000}"/>
    <cellStyle name="Note 5 8 2 2 3 2" xfId="13948" xr:uid="{00000000-0005-0000-0000-00003C360000}"/>
    <cellStyle name="Note 5 8 2 2 3 2 2" xfId="13949" xr:uid="{00000000-0005-0000-0000-00003D360000}"/>
    <cellStyle name="Note 5 8 2 2 3 2 3" xfId="13950" xr:uid="{00000000-0005-0000-0000-00003E360000}"/>
    <cellStyle name="Note 5 8 2 2 3 3" xfId="13951" xr:uid="{00000000-0005-0000-0000-00003F360000}"/>
    <cellStyle name="Note 5 8 2 2 3 3 2" xfId="13952" xr:uid="{00000000-0005-0000-0000-000040360000}"/>
    <cellStyle name="Note 5 8 2 2 3 4" xfId="13953" xr:uid="{00000000-0005-0000-0000-000041360000}"/>
    <cellStyle name="Note 5 8 2 2 3 5" xfId="13954" xr:uid="{00000000-0005-0000-0000-000042360000}"/>
    <cellStyle name="Note 5 8 2 2 3 6" xfId="13955" xr:uid="{00000000-0005-0000-0000-000043360000}"/>
    <cellStyle name="Note 5 8 2 2 3 7" xfId="13956" xr:uid="{00000000-0005-0000-0000-000044360000}"/>
    <cellStyle name="Note 5 8 2 2 3 8" xfId="13957" xr:uid="{00000000-0005-0000-0000-000045360000}"/>
    <cellStyle name="Note 5 8 2 2 4" xfId="13958" xr:uid="{00000000-0005-0000-0000-000046360000}"/>
    <cellStyle name="Note 5 8 2 2 4 2" xfId="13959" xr:uid="{00000000-0005-0000-0000-000047360000}"/>
    <cellStyle name="Note 5 8 2 2 4 2 2" xfId="13960" xr:uid="{00000000-0005-0000-0000-000048360000}"/>
    <cellStyle name="Note 5 8 2 2 4 3" xfId="13961" xr:uid="{00000000-0005-0000-0000-000049360000}"/>
    <cellStyle name="Note 5 8 2 2 4 4" xfId="13962" xr:uid="{00000000-0005-0000-0000-00004A360000}"/>
    <cellStyle name="Note 5 8 2 2 5" xfId="13963" xr:uid="{00000000-0005-0000-0000-00004B360000}"/>
    <cellStyle name="Note 5 8 2 2 5 2" xfId="13964" xr:uid="{00000000-0005-0000-0000-00004C360000}"/>
    <cellStyle name="Note 5 8 2 2 6" xfId="13965" xr:uid="{00000000-0005-0000-0000-00004D360000}"/>
    <cellStyle name="Note 5 8 2 2 6 2" xfId="13966" xr:uid="{00000000-0005-0000-0000-00004E360000}"/>
    <cellStyle name="Note 5 8 2 2 7" xfId="13967" xr:uid="{00000000-0005-0000-0000-00004F360000}"/>
    <cellStyle name="Note 5 8 2 2 7 2" xfId="13968" xr:uid="{00000000-0005-0000-0000-000050360000}"/>
    <cellStyle name="Note 5 8 2 2 8" xfId="13969" xr:uid="{00000000-0005-0000-0000-000051360000}"/>
    <cellStyle name="Note 5 8 2 2 9" xfId="13970" xr:uid="{00000000-0005-0000-0000-000052360000}"/>
    <cellStyle name="Note 5 8 2 3" xfId="13971" xr:uid="{00000000-0005-0000-0000-000053360000}"/>
    <cellStyle name="Note 5 8 2 3 10" xfId="13972" xr:uid="{00000000-0005-0000-0000-000054360000}"/>
    <cellStyle name="Note 5 8 2 3 11" xfId="13973" xr:uid="{00000000-0005-0000-0000-000055360000}"/>
    <cellStyle name="Note 5 8 2 3 2" xfId="13974" xr:uid="{00000000-0005-0000-0000-000056360000}"/>
    <cellStyle name="Note 5 8 2 3 2 2" xfId="13975" xr:uid="{00000000-0005-0000-0000-000057360000}"/>
    <cellStyle name="Note 5 8 2 3 2 2 2" xfId="13976" xr:uid="{00000000-0005-0000-0000-000058360000}"/>
    <cellStyle name="Note 5 8 2 3 2 2 3" xfId="13977" xr:uid="{00000000-0005-0000-0000-000059360000}"/>
    <cellStyle name="Note 5 8 2 3 2 3" xfId="13978" xr:uid="{00000000-0005-0000-0000-00005A360000}"/>
    <cellStyle name="Note 5 8 2 3 2 3 2" xfId="13979" xr:uid="{00000000-0005-0000-0000-00005B360000}"/>
    <cellStyle name="Note 5 8 2 3 2 4" xfId="13980" xr:uid="{00000000-0005-0000-0000-00005C360000}"/>
    <cellStyle name="Note 5 8 2 3 2 5" xfId="13981" xr:uid="{00000000-0005-0000-0000-00005D360000}"/>
    <cellStyle name="Note 5 8 2 3 2 6" xfId="13982" xr:uid="{00000000-0005-0000-0000-00005E360000}"/>
    <cellStyle name="Note 5 8 2 3 2 7" xfId="13983" xr:uid="{00000000-0005-0000-0000-00005F360000}"/>
    <cellStyle name="Note 5 8 2 3 2 8" xfId="13984" xr:uid="{00000000-0005-0000-0000-000060360000}"/>
    <cellStyle name="Note 5 8 2 3 3" xfId="13985" xr:uid="{00000000-0005-0000-0000-000061360000}"/>
    <cellStyle name="Note 5 8 2 3 3 2" xfId="13986" xr:uid="{00000000-0005-0000-0000-000062360000}"/>
    <cellStyle name="Note 5 8 2 3 3 2 2" xfId="13987" xr:uid="{00000000-0005-0000-0000-000063360000}"/>
    <cellStyle name="Note 5 8 2 3 3 3" xfId="13988" xr:uid="{00000000-0005-0000-0000-000064360000}"/>
    <cellStyle name="Note 5 8 2 3 3 4" xfId="13989" xr:uid="{00000000-0005-0000-0000-000065360000}"/>
    <cellStyle name="Note 5 8 2 3 4" xfId="13990" xr:uid="{00000000-0005-0000-0000-000066360000}"/>
    <cellStyle name="Note 5 8 2 3 4 2" xfId="13991" xr:uid="{00000000-0005-0000-0000-000067360000}"/>
    <cellStyle name="Note 5 8 2 3 5" xfId="13992" xr:uid="{00000000-0005-0000-0000-000068360000}"/>
    <cellStyle name="Note 5 8 2 3 5 2" xfId="13993" xr:uid="{00000000-0005-0000-0000-000069360000}"/>
    <cellStyle name="Note 5 8 2 3 6" xfId="13994" xr:uid="{00000000-0005-0000-0000-00006A360000}"/>
    <cellStyle name="Note 5 8 2 3 6 2" xfId="13995" xr:uid="{00000000-0005-0000-0000-00006B360000}"/>
    <cellStyle name="Note 5 8 2 3 7" xfId="13996" xr:uid="{00000000-0005-0000-0000-00006C360000}"/>
    <cellStyle name="Note 5 8 2 3 8" xfId="13997" xr:uid="{00000000-0005-0000-0000-00006D360000}"/>
    <cellStyle name="Note 5 8 2 3 9" xfId="13998" xr:uid="{00000000-0005-0000-0000-00006E360000}"/>
    <cellStyle name="Note 5 8 2 4" xfId="13999" xr:uid="{00000000-0005-0000-0000-00006F360000}"/>
    <cellStyle name="Note 5 8 2 4 2" xfId="14000" xr:uid="{00000000-0005-0000-0000-000070360000}"/>
    <cellStyle name="Note 5 8 2 4 2 2" xfId="14001" xr:uid="{00000000-0005-0000-0000-000071360000}"/>
    <cellStyle name="Note 5 8 2 4 2 3" xfId="14002" xr:uid="{00000000-0005-0000-0000-000072360000}"/>
    <cellStyle name="Note 5 8 2 4 3" xfId="14003" xr:uid="{00000000-0005-0000-0000-000073360000}"/>
    <cellStyle name="Note 5 8 2 4 3 2" xfId="14004" xr:uid="{00000000-0005-0000-0000-000074360000}"/>
    <cellStyle name="Note 5 8 2 4 4" xfId="14005" xr:uid="{00000000-0005-0000-0000-000075360000}"/>
    <cellStyle name="Note 5 8 2 4 5" xfId="14006" xr:uid="{00000000-0005-0000-0000-000076360000}"/>
    <cellStyle name="Note 5 8 2 4 6" xfId="14007" xr:uid="{00000000-0005-0000-0000-000077360000}"/>
    <cellStyle name="Note 5 8 2 4 7" xfId="14008" xr:uid="{00000000-0005-0000-0000-000078360000}"/>
    <cellStyle name="Note 5 8 2 4 8" xfId="14009" xr:uid="{00000000-0005-0000-0000-000079360000}"/>
    <cellStyle name="Note 5 8 2 5" xfId="14010" xr:uid="{00000000-0005-0000-0000-00007A360000}"/>
    <cellStyle name="Note 5 8 2 5 2" xfId="14011" xr:uid="{00000000-0005-0000-0000-00007B360000}"/>
    <cellStyle name="Note 5 8 2 5 2 2" xfId="14012" xr:uid="{00000000-0005-0000-0000-00007C360000}"/>
    <cellStyle name="Note 5 8 2 5 3" xfId="14013" xr:uid="{00000000-0005-0000-0000-00007D360000}"/>
    <cellStyle name="Note 5 8 2 5 4" xfId="14014" xr:uid="{00000000-0005-0000-0000-00007E360000}"/>
    <cellStyle name="Note 5 8 2 6" xfId="14015" xr:uid="{00000000-0005-0000-0000-00007F360000}"/>
    <cellStyle name="Note 5 8 2 6 2" xfId="14016" xr:uid="{00000000-0005-0000-0000-000080360000}"/>
    <cellStyle name="Note 5 8 2 7" xfId="14017" xr:uid="{00000000-0005-0000-0000-000081360000}"/>
    <cellStyle name="Note 5 8 2 7 2" xfId="14018" xr:uid="{00000000-0005-0000-0000-000082360000}"/>
    <cellStyle name="Note 5 8 2 8" xfId="14019" xr:uid="{00000000-0005-0000-0000-000083360000}"/>
    <cellStyle name="Note 5 8 2 8 2" xfId="14020" xr:uid="{00000000-0005-0000-0000-000084360000}"/>
    <cellStyle name="Note 5 8 2 9" xfId="14021" xr:uid="{00000000-0005-0000-0000-000085360000}"/>
    <cellStyle name="Note 5 8 3" xfId="14022" xr:uid="{00000000-0005-0000-0000-000086360000}"/>
    <cellStyle name="Note 5 8 3 10" xfId="14023" xr:uid="{00000000-0005-0000-0000-000087360000}"/>
    <cellStyle name="Note 5 8 3 11" xfId="14024" xr:uid="{00000000-0005-0000-0000-000088360000}"/>
    <cellStyle name="Note 5 8 3 12" xfId="14025" xr:uid="{00000000-0005-0000-0000-000089360000}"/>
    <cellStyle name="Note 5 8 3 2" xfId="14026" xr:uid="{00000000-0005-0000-0000-00008A360000}"/>
    <cellStyle name="Note 5 8 3 2 10" xfId="14027" xr:uid="{00000000-0005-0000-0000-00008B360000}"/>
    <cellStyle name="Note 5 8 3 2 11" xfId="14028" xr:uid="{00000000-0005-0000-0000-00008C360000}"/>
    <cellStyle name="Note 5 8 3 2 2" xfId="14029" xr:uid="{00000000-0005-0000-0000-00008D360000}"/>
    <cellStyle name="Note 5 8 3 2 2 2" xfId="14030" xr:uid="{00000000-0005-0000-0000-00008E360000}"/>
    <cellStyle name="Note 5 8 3 2 2 2 2" xfId="14031" xr:uid="{00000000-0005-0000-0000-00008F360000}"/>
    <cellStyle name="Note 5 8 3 2 2 2 3" xfId="14032" xr:uid="{00000000-0005-0000-0000-000090360000}"/>
    <cellStyle name="Note 5 8 3 2 2 3" xfId="14033" xr:uid="{00000000-0005-0000-0000-000091360000}"/>
    <cellStyle name="Note 5 8 3 2 2 3 2" xfId="14034" xr:uid="{00000000-0005-0000-0000-000092360000}"/>
    <cellStyle name="Note 5 8 3 2 2 4" xfId="14035" xr:uid="{00000000-0005-0000-0000-000093360000}"/>
    <cellStyle name="Note 5 8 3 2 2 5" xfId="14036" xr:uid="{00000000-0005-0000-0000-000094360000}"/>
    <cellStyle name="Note 5 8 3 2 2 6" xfId="14037" xr:uid="{00000000-0005-0000-0000-000095360000}"/>
    <cellStyle name="Note 5 8 3 2 2 7" xfId="14038" xr:uid="{00000000-0005-0000-0000-000096360000}"/>
    <cellStyle name="Note 5 8 3 2 2 8" xfId="14039" xr:uid="{00000000-0005-0000-0000-000097360000}"/>
    <cellStyle name="Note 5 8 3 2 3" xfId="14040" xr:uid="{00000000-0005-0000-0000-000098360000}"/>
    <cellStyle name="Note 5 8 3 2 3 2" xfId="14041" xr:uid="{00000000-0005-0000-0000-000099360000}"/>
    <cellStyle name="Note 5 8 3 2 3 2 2" xfId="14042" xr:uid="{00000000-0005-0000-0000-00009A360000}"/>
    <cellStyle name="Note 5 8 3 2 3 3" xfId="14043" xr:uid="{00000000-0005-0000-0000-00009B360000}"/>
    <cellStyle name="Note 5 8 3 2 3 4" xfId="14044" xr:uid="{00000000-0005-0000-0000-00009C360000}"/>
    <cellStyle name="Note 5 8 3 2 4" xfId="14045" xr:uid="{00000000-0005-0000-0000-00009D360000}"/>
    <cellStyle name="Note 5 8 3 2 4 2" xfId="14046" xr:uid="{00000000-0005-0000-0000-00009E360000}"/>
    <cellStyle name="Note 5 8 3 2 5" xfId="14047" xr:uid="{00000000-0005-0000-0000-00009F360000}"/>
    <cellStyle name="Note 5 8 3 2 5 2" xfId="14048" xr:uid="{00000000-0005-0000-0000-0000A0360000}"/>
    <cellStyle name="Note 5 8 3 2 6" xfId="14049" xr:uid="{00000000-0005-0000-0000-0000A1360000}"/>
    <cellStyle name="Note 5 8 3 2 6 2" xfId="14050" xr:uid="{00000000-0005-0000-0000-0000A2360000}"/>
    <cellStyle name="Note 5 8 3 2 7" xfId="14051" xr:uid="{00000000-0005-0000-0000-0000A3360000}"/>
    <cellStyle name="Note 5 8 3 2 8" xfId="14052" xr:uid="{00000000-0005-0000-0000-0000A4360000}"/>
    <cellStyle name="Note 5 8 3 2 9" xfId="14053" xr:uid="{00000000-0005-0000-0000-0000A5360000}"/>
    <cellStyle name="Note 5 8 3 3" xfId="14054" xr:uid="{00000000-0005-0000-0000-0000A6360000}"/>
    <cellStyle name="Note 5 8 3 3 2" xfId="14055" xr:uid="{00000000-0005-0000-0000-0000A7360000}"/>
    <cellStyle name="Note 5 8 3 3 2 2" xfId="14056" xr:uid="{00000000-0005-0000-0000-0000A8360000}"/>
    <cellStyle name="Note 5 8 3 3 2 3" xfId="14057" xr:uid="{00000000-0005-0000-0000-0000A9360000}"/>
    <cellStyle name="Note 5 8 3 3 3" xfId="14058" xr:uid="{00000000-0005-0000-0000-0000AA360000}"/>
    <cellStyle name="Note 5 8 3 3 3 2" xfId="14059" xr:uid="{00000000-0005-0000-0000-0000AB360000}"/>
    <cellStyle name="Note 5 8 3 3 4" xfId="14060" xr:uid="{00000000-0005-0000-0000-0000AC360000}"/>
    <cellStyle name="Note 5 8 3 3 5" xfId="14061" xr:uid="{00000000-0005-0000-0000-0000AD360000}"/>
    <cellStyle name="Note 5 8 3 3 6" xfId="14062" xr:uid="{00000000-0005-0000-0000-0000AE360000}"/>
    <cellStyle name="Note 5 8 3 3 7" xfId="14063" xr:uid="{00000000-0005-0000-0000-0000AF360000}"/>
    <cellStyle name="Note 5 8 3 3 8" xfId="14064" xr:uid="{00000000-0005-0000-0000-0000B0360000}"/>
    <cellStyle name="Note 5 8 3 4" xfId="14065" xr:uid="{00000000-0005-0000-0000-0000B1360000}"/>
    <cellStyle name="Note 5 8 3 4 2" xfId="14066" xr:uid="{00000000-0005-0000-0000-0000B2360000}"/>
    <cellStyle name="Note 5 8 3 4 2 2" xfId="14067" xr:uid="{00000000-0005-0000-0000-0000B3360000}"/>
    <cellStyle name="Note 5 8 3 4 3" xfId="14068" xr:uid="{00000000-0005-0000-0000-0000B4360000}"/>
    <cellStyle name="Note 5 8 3 4 4" xfId="14069" xr:uid="{00000000-0005-0000-0000-0000B5360000}"/>
    <cellStyle name="Note 5 8 3 5" xfId="14070" xr:uid="{00000000-0005-0000-0000-0000B6360000}"/>
    <cellStyle name="Note 5 8 3 5 2" xfId="14071" xr:uid="{00000000-0005-0000-0000-0000B7360000}"/>
    <cellStyle name="Note 5 8 3 6" xfId="14072" xr:uid="{00000000-0005-0000-0000-0000B8360000}"/>
    <cellStyle name="Note 5 8 3 6 2" xfId="14073" xr:uid="{00000000-0005-0000-0000-0000B9360000}"/>
    <cellStyle name="Note 5 8 3 7" xfId="14074" xr:uid="{00000000-0005-0000-0000-0000BA360000}"/>
    <cellStyle name="Note 5 8 3 7 2" xfId="14075" xr:uid="{00000000-0005-0000-0000-0000BB360000}"/>
    <cellStyle name="Note 5 8 3 8" xfId="14076" xr:uid="{00000000-0005-0000-0000-0000BC360000}"/>
    <cellStyle name="Note 5 8 3 9" xfId="14077" xr:uid="{00000000-0005-0000-0000-0000BD360000}"/>
    <cellStyle name="Note 5 8 4" xfId="14078" xr:uid="{00000000-0005-0000-0000-0000BE360000}"/>
    <cellStyle name="Note 5 8 4 10" xfId="14079" xr:uid="{00000000-0005-0000-0000-0000BF360000}"/>
    <cellStyle name="Note 5 8 4 11" xfId="14080" xr:uid="{00000000-0005-0000-0000-0000C0360000}"/>
    <cellStyle name="Note 5 8 4 2" xfId="14081" xr:uid="{00000000-0005-0000-0000-0000C1360000}"/>
    <cellStyle name="Note 5 8 4 2 2" xfId="14082" xr:uid="{00000000-0005-0000-0000-0000C2360000}"/>
    <cellStyle name="Note 5 8 4 2 2 2" xfId="14083" xr:uid="{00000000-0005-0000-0000-0000C3360000}"/>
    <cellStyle name="Note 5 8 4 2 2 3" xfId="14084" xr:uid="{00000000-0005-0000-0000-0000C4360000}"/>
    <cellStyle name="Note 5 8 4 2 3" xfId="14085" xr:uid="{00000000-0005-0000-0000-0000C5360000}"/>
    <cellStyle name="Note 5 8 4 2 3 2" xfId="14086" xr:uid="{00000000-0005-0000-0000-0000C6360000}"/>
    <cellStyle name="Note 5 8 4 2 4" xfId="14087" xr:uid="{00000000-0005-0000-0000-0000C7360000}"/>
    <cellStyle name="Note 5 8 4 2 5" xfId="14088" xr:uid="{00000000-0005-0000-0000-0000C8360000}"/>
    <cellStyle name="Note 5 8 4 2 6" xfId="14089" xr:uid="{00000000-0005-0000-0000-0000C9360000}"/>
    <cellStyle name="Note 5 8 4 2 7" xfId="14090" xr:uid="{00000000-0005-0000-0000-0000CA360000}"/>
    <cellStyle name="Note 5 8 4 2 8" xfId="14091" xr:uid="{00000000-0005-0000-0000-0000CB360000}"/>
    <cellStyle name="Note 5 8 4 3" xfId="14092" xr:uid="{00000000-0005-0000-0000-0000CC360000}"/>
    <cellStyle name="Note 5 8 4 3 2" xfId="14093" xr:uid="{00000000-0005-0000-0000-0000CD360000}"/>
    <cellStyle name="Note 5 8 4 3 2 2" xfId="14094" xr:uid="{00000000-0005-0000-0000-0000CE360000}"/>
    <cellStyle name="Note 5 8 4 3 3" xfId="14095" xr:uid="{00000000-0005-0000-0000-0000CF360000}"/>
    <cellStyle name="Note 5 8 4 3 4" xfId="14096" xr:uid="{00000000-0005-0000-0000-0000D0360000}"/>
    <cellStyle name="Note 5 8 4 4" xfId="14097" xr:uid="{00000000-0005-0000-0000-0000D1360000}"/>
    <cellStyle name="Note 5 8 4 4 2" xfId="14098" xr:uid="{00000000-0005-0000-0000-0000D2360000}"/>
    <cellStyle name="Note 5 8 4 5" xfId="14099" xr:uid="{00000000-0005-0000-0000-0000D3360000}"/>
    <cellStyle name="Note 5 8 4 5 2" xfId="14100" xr:uid="{00000000-0005-0000-0000-0000D4360000}"/>
    <cellStyle name="Note 5 8 4 6" xfId="14101" xr:uid="{00000000-0005-0000-0000-0000D5360000}"/>
    <cellStyle name="Note 5 8 4 6 2" xfId="14102" xr:uid="{00000000-0005-0000-0000-0000D6360000}"/>
    <cellStyle name="Note 5 8 4 7" xfId="14103" xr:uid="{00000000-0005-0000-0000-0000D7360000}"/>
    <cellStyle name="Note 5 8 4 8" xfId="14104" xr:uid="{00000000-0005-0000-0000-0000D8360000}"/>
    <cellStyle name="Note 5 8 4 9" xfId="14105" xr:uid="{00000000-0005-0000-0000-0000D9360000}"/>
    <cellStyle name="Note 5 8 5" xfId="14106" xr:uid="{00000000-0005-0000-0000-0000DA360000}"/>
    <cellStyle name="Note 5 8 5 2" xfId="14107" xr:uid="{00000000-0005-0000-0000-0000DB360000}"/>
    <cellStyle name="Note 5 8 5 2 2" xfId="14108" xr:uid="{00000000-0005-0000-0000-0000DC360000}"/>
    <cellStyle name="Note 5 8 5 2 3" xfId="14109" xr:uid="{00000000-0005-0000-0000-0000DD360000}"/>
    <cellStyle name="Note 5 8 5 3" xfId="14110" xr:uid="{00000000-0005-0000-0000-0000DE360000}"/>
    <cellStyle name="Note 5 8 5 3 2" xfId="14111" xr:uid="{00000000-0005-0000-0000-0000DF360000}"/>
    <cellStyle name="Note 5 8 5 4" xfId="14112" xr:uid="{00000000-0005-0000-0000-0000E0360000}"/>
    <cellStyle name="Note 5 8 5 5" xfId="14113" xr:uid="{00000000-0005-0000-0000-0000E1360000}"/>
    <cellStyle name="Note 5 8 5 6" xfId="14114" xr:uid="{00000000-0005-0000-0000-0000E2360000}"/>
    <cellStyle name="Note 5 8 5 7" xfId="14115" xr:uid="{00000000-0005-0000-0000-0000E3360000}"/>
    <cellStyle name="Note 5 8 5 8" xfId="14116" xr:uid="{00000000-0005-0000-0000-0000E4360000}"/>
    <cellStyle name="Note 5 8 6" xfId="14117" xr:uid="{00000000-0005-0000-0000-0000E5360000}"/>
    <cellStyle name="Note 5 8 6 2" xfId="14118" xr:uid="{00000000-0005-0000-0000-0000E6360000}"/>
    <cellStyle name="Note 5 8 6 2 2" xfId="14119" xr:uid="{00000000-0005-0000-0000-0000E7360000}"/>
    <cellStyle name="Note 5 8 6 3" xfId="14120" xr:uid="{00000000-0005-0000-0000-0000E8360000}"/>
    <cellStyle name="Note 5 8 6 4" xfId="14121" xr:uid="{00000000-0005-0000-0000-0000E9360000}"/>
    <cellStyle name="Note 5 8 7" xfId="14122" xr:uid="{00000000-0005-0000-0000-0000EA360000}"/>
    <cellStyle name="Note 5 8 7 2" xfId="14123" xr:uid="{00000000-0005-0000-0000-0000EB360000}"/>
    <cellStyle name="Note 5 8 8" xfId="14124" xr:uid="{00000000-0005-0000-0000-0000EC360000}"/>
    <cellStyle name="Note 5 8 8 2" xfId="14125" xr:uid="{00000000-0005-0000-0000-0000ED360000}"/>
    <cellStyle name="Note 5 8 9" xfId="14126" xr:uid="{00000000-0005-0000-0000-0000EE360000}"/>
    <cellStyle name="Note 5 8 9 2" xfId="14127" xr:uid="{00000000-0005-0000-0000-0000EF360000}"/>
    <cellStyle name="Note 5 9" xfId="14128" xr:uid="{00000000-0005-0000-0000-0000F0360000}"/>
    <cellStyle name="Note 6" xfId="3122" xr:uid="{00000000-0005-0000-0000-0000F1360000}"/>
    <cellStyle name="Note 6 10" xfId="14129" xr:uid="{00000000-0005-0000-0000-0000F2360000}"/>
    <cellStyle name="Note 6 11" xfId="14130" xr:uid="{00000000-0005-0000-0000-0000F3360000}"/>
    <cellStyle name="Note 6 11 10" xfId="14131" xr:uid="{00000000-0005-0000-0000-0000F4360000}"/>
    <cellStyle name="Note 6 11 11" xfId="14132" xr:uid="{00000000-0005-0000-0000-0000F5360000}"/>
    <cellStyle name="Note 6 11 12" xfId="14133" xr:uid="{00000000-0005-0000-0000-0000F6360000}"/>
    <cellStyle name="Note 6 11 13" xfId="14134" xr:uid="{00000000-0005-0000-0000-0000F7360000}"/>
    <cellStyle name="Note 6 11 2" xfId="14135" xr:uid="{00000000-0005-0000-0000-0000F8360000}"/>
    <cellStyle name="Note 6 11 2 10" xfId="14136" xr:uid="{00000000-0005-0000-0000-0000F9360000}"/>
    <cellStyle name="Note 6 11 2 11" xfId="14137" xr:uid="{00000000-0005-0000-0000-0000FA360000}"/>
    <cellStyle name="Note 6 11 2 12" xfId="14138" xr:uid="{00000000-0005-0000-0000-0000FB360000}"/>
    <cellStyle name="Note 6 11 2 2" xfId="14139" xr:uid="{00000000-0005-0000-0000-0000FC360000}"/>
    <cellStyle name="Note 6 11 2 2 10" xfId="14140" xr:uid="{00000000-0005-0000-0000-0000FD360000}"/>
    <cellStyle name="Note 6 11 2 2 11" xfId="14141" xr:uid="{00000000-0005-0000-0000-0000FE360000}"/>
    <cellStyle name="Note 6 11 2 2 2" xfId="14142" xr:uid="{00000000-0005-0000-0000-0000FF360000}"/>
    <cellStyle name="Note 6 11 2 2 2 2" xfId="14143" xr:uid="{00000000-0005-0000-0000-000000370000}"/>
    <cellStyle name="Note 6 11 2 2 2 2 2" xfId="14144" xr:uid="{00000000-0005-0000-0000-000001370000}"/>
    <cellStyle name="Note 6 11 2 2 2 2 3" xfId="14145" xr:uid="{00000000-0005-0000-0000-000002370000}"/>
    <cellStyle name="Note 6 11 2 2 2 3" xfId="14146" xr:uid="{00000000-0005-0000-0000-000003370000}"/>
    <cellStyle name="Note 6 11 2 2 2 3 2" xfId="14147" xr:uid="{00000000-0005-0000-0000-000004370000}"/>
    <cellStyle name="Note 6 11 2 2 2 4" xfId="14148" xr:uid="{00000000-0005-0000-0000-000005370000}"/>
    <cellStyle name="Note 6 11 2 2 2 5" xfId="14149" xr:uid="{00000000-0005-0000-0000-000006370000}"/>
    <cellStyle name="Note 6 11 2 2 2 6" xfId="14150" xr:uid="{00000000-0005-0000-0000-000007370000}"/>
    <cellStyle name="Note 6 11 2 2 2 7" xfId="14151" xr:uid="{00000000-0005-0000-0000-000008370000}"/>
    <cellStyle name="Note 6 11 2 2 2 8" xfId="14152" xr:uid="{00000000-0005-0000-0000-000009370000}"/>
    <cellStyle name="Note 6 11 2 2 3" xfId="14153" xr:uid="{00000000-0005-0000-0000-00000A370000}"/>
    <cellStyle name="Note 6 11 2 2 3 2" xfId="14154" xr:uid="{00000000-0005-0000-0000-00000B370000}"/>
    <cellStyle name="Note 6 11 2 2 3 2 2" xfId="14155" xr:uid="{00000000-0005-0000-0000-00000C370000}"/>
    <cellStyle name="Note 6 11 2 2 3 3" xfId="14156" xr:uid="{00000000-0005-0000-0000-00000D370000}"/>
    <cellStyle name="Note 6 11 2 2 3 4" xfId="14157" xr:uid="{00000000-0005-0000-0000-00000E370000}"/>
    <cellStyle name="Note 6 11 2 2 4" xfId="14158" xr:uid="{00000000-0005-0000-0000-00000F370000}"/>
    <cellStyle name="Note 6 11 2 2 4 2" xfId="14159" xr:uid="{00000000-0005-0000-0000-000010370000}"/>
    <cellStyle name="Note 6 11 2 2 5" xfId="14160" xr:uid="{00000000-0005-0000-0000-000011370000}"/>
    <cellStyle name="Note 6 11 2 2 5 2" xfId="14161" xr:uid="{00000000-0005-0000-0000-000012370000}"/>
    <cellStyle name="Note 6 11 2 2 6" xfId="14162" xr:uid="{00000000-0005-0000-0000-000013370000}"/>
    <cellStyle name="Note 6 11 2 2 6 2" xfId="14163" xr:uid="{00000000-0005-0000-0000-000014370000}"/>
    <cellStyle name="Note 6 11 2 2 7" xfId="14164" xr:uid="{00000000-0005-0000-0000-000015370000}"/>
    <cellStyle name="Note 6 11 2 2 8" xfId="14165" xr:uid="{00000000-0005-0000-0000-000016370000}"/>
    <cellStyle name="Note 6 11 2 2 9" xfId="14166" xr:uid="{00000000-0005-0000-0000-000017370000}"/>
    <cellStyle name="Note 6 11 2 3" xfId="14167" xr:uid="{00000000-0005-0000-0000-000018370000}"/>
    <cellStyle name="Note 6 11 2 3 2" xfId="14168" xr:uid="{00000000-0005-0000-0000-000019370000}"/>
    <cellStyle name="Note 6 11 2 3 2 2" xfId="14169" xr:uid="{00000000-0005-0000-0000-00001A370000}"/>
    <cellStyle name="Note 6 11 2 3 2 3" xfId="14170" xr:uid="{00000000-0005-0000-0000-00001B370000}"/>
    <cellStyle name="Note 6 11 2 3 3" xfId="14171" xr:uid="{00000000-0005-0000-0000-00001C370000}"/>
    <cellStyle name="Note 6 11 2 3 3 2" xfId="14172" xr:uid="{00000000-0005-0000-0000-00001D370000}"/>
    <cellStyle name="Note 6 11 2 3 4" xfId="14173" xr:uid="{00000000-0005-0000-0000-00001E370000}"/>
    <cellStyle name="Note 6 11 2 3 5" xfId="14174" xr:uid="{00000000-0005-0000-0000-00001F370000}"/>
    <cellStyle name="Note 6 11 2 3 6" xfId="14175" xr:uid="{00000000-0005-0000-0000-000020370000}"/>
    <cellStyle name="Note 6 11 2 3 7" xfId="14176" xr:uid="{00000000-0005-0000-0000-000021370000}"/>
    <cellStyle name="Note 6 11 2 3 8" xfId="14177" xr:uid="{00000000-0005-0000-0000-000022370000}"/>
    <cellStyle name="Note 6 11 2 4" xfId="14178" xr:uid="{00000000-0005-0000-0000-000023370000}"/>
    <cellStyle name="Note 6 11 2 4 2" xfId="14179" xr:uid="{00000000-0005-0000-0000-000024370000}"/>
    <cellStyle name="Note 6 11 2 4 2 2" xfId="14180" xr:uid="{00000000-0005-0000-0000-000025370000}"/>
    <cellStyle name="Note 6 11 2 4 3" xfId="14181" xr:uid="{00000000-0005-0000-0000-000026370000}"/>
    <cellStyle name="Note 6 11 2 4 4" xfId="14182" xr:uid="{00000000-0005-0000-0000-000027370000}"/>
    <cellStyle name="Note 6 11 2 5" xfId="14183" xr:uid="{00000000-0005-0000-0000-000028370000}"/>
    <cellStyle name="Note 6 11 2 5 2" xfId="14184" xr:uid="{00000000-0005-0000-0000-000029370000}"/>
    <cellStyle name="Note 6 11 2 6" xfId="14185" xr:uid="{00000000-0005-0000-0000-00002A370000}"/>
    <cellStyle name="Note 6 11 2 6 2" xfId="14186" xr:uid="{00000000-0005-0000-0000-00002B370000}"/>
    <cellStyle name="Note 6 11 2 7" xfId="14187" xr:uid="{00000000-0005-0000-0000-00002C370000}"/>
    <cellStyle name="Note 6 11 2 7 2" xfId="14188" xr:uid="{00000000-0005-0000-0000-00002D370000}"/>
    <cellStyle name="Note 6 11 2 8" xfId="14189" xr:uid="{00000000-0005-0000-0000-00002E370000}"/>
    <cellStyle name="Note 6 11 2 9" xfId="14190" xr:uid="{00000000-0005-0000-0000-00002F370000}"/>
    <cellStyle name="Note 6 11 3" xfId="14191" xr:uid="{00000000-0005-0000-0000-000030370000}"/>
    <cellStyle name="Note 6 11 3 10" xfId="14192" xr:uid="{00000000-0005-0000-0000-000031370000}"/>
    <cellStyle name="Note 6 11 3 11" xfId="14193" xr:uid="{00000000-0005-0000-0000-000032370000}"/>
    <cellStyle name="Note 6 11 3 2" xfId="14194" xr:uid="{00000000-0005-0000-0000-000033370000}"/>
    <cellStyle name="Note 6 11 3 2 2" xfId="14195" xr:uid="{00000000-0005-0000-0000-000034370000}"/>
    <cellStyle name="Note 6 11 3 2 2 2" xfId="14196" xr:uid="{00000000-0005-0000-0000-000035370000}"/>
    <cellStyle name="Note 6 11 3 2 2 3" xfId="14197" xr:uid="{00000000-0005-0000-0000-000036370000}"/>
    <cellStyle name="Note 6 11 3 2 3" xfId="14198" xr:uid="{00000000-0005-0000-0000-000037370000}"/>
    <cellStyle name="Note 6 11 3 2 3 2" xfId="14199" xr:uid="{00000000-0005-0000-0000-000038370000}"/>
    <cellStyle name="Note 6 11 3 2 4" xfId="14200" xr:uid="{00000000-0005-0000-0000-000039370000}"/>
    <cellStyle name="Note 6 11 3 2 5" xfId="14201" xr:uid="{00000000-0005-0000-0000-00003A370000}"/>
    <cellStyle name="Note 6 11 3 2 6" xfId="14202" xr:uid="{00000000-0005-0000-0000-00003B370000}"/>
    <cellStyle name="Note 6 11 3 2 7" xfId="14203" xr:uid="{00000000-0005-0000-0000-00003C370000}"/>
    <cellStyle name="Note 6 11 3 2 8" xfId="14204" xr:uid="{00000000-0005-0000-0000-00003D370000}"/>
    <cellStyle name="Note 6 11 3 3" xfId="14205" xr:uid="{00000000-0005-0000-0000-00003E370000}"/>
    <cellStyle name="Note 6 11 3 3 2" xfId="14206" xr:uid="{00000000-0005-0000-0000-00003F370000}"/>
    <cellStyle name="Note 6 11 3 3 2 2" xfId="14207" xr:uid="{00000000-0005-0000-0000-000040370000}"/>
    <cellStyle name="Note 6 11 3 3 3" xfId="14208" xr:uid="{00000000-0005-0000-0000-000041370000}"/>
    <cellStyle name="Note 6 11 3 3 4" xfId="14209" xr:uid="{00000000-0005-0000-0000-000042370000}"/>
    <cellStyle name="Note 6 11 3 4" xfId="14210" xr:uid="{00000000-0005-0000-0000-000043370000}"/>
    <cellStyle name="Note 6 11 3 4 2" xfId="14211" xr:uid="{00000000-0005-0000-0000-000044370000}"/>
    <cellStyle name="Note 6 11 3 5" xfId="14212" xr:uid="{00000000-0005-0000-0000-000045370000}"/>
    <cellStyle name="Note 6 11 3 5 2" xfId="14213" xr:uid="{00000000-0005-0000-0000-000046370000}"/>
    <cellStyle name="Note 6 11 3 6" xfId="14214" xr:uid="{00000000-0005-0000-0000-000047370000}"/>
    <cellStyle name="Note 6 11 3 6 2" xfId="14215" xr:uid="{00000000-0005-0000-0000-000048370000}"/>
    <cellStyle name="Note 6 11 3 7" xfId="14216" xr:uid="{00000000-0005-0000-0000-000049370000}"/>
    <cellStyle name="Note 6 11 3 8" xfId="14217" xr:uid="{00000000-0005-0000-0000-00004A370000}"/>
    <cellStyle name="Note 6 11 3 9" xfId="14218" xr:uid="{00000000-0005-0000-0000-00004B370000}"/>
    <cellStyle name="Note 6 11 4" xfId="14219" xr:uid="{00000000-0005-0000-0000-00004C370000}"/>
    <cellStyle name="Note 6 11 4 2" xfId="14220" xr:uid="{00000000-0005-0000-0000-00004D370000}"/>
    <cellStyle name="Note 6 11 4 2 2" xfId="14221" xr:uid="{00000000-0005-0000-0000-00004E370000}"/>
    <cellStyle name="Note 6 11 4 2 3" xfId="14222" xr:uid="{00000000-0005-0000-0000-00004F370000}"/>
    <cellStyle name="Note 6 11 4 3" xfId="14223" xr:uid="{00000000-0005-0000-0000-000050370000}"/>
    <cellStyle name="Note 6 11 4 3 2" xfId="14224" xr:uid="{00000000-0005-0000-0000-000051370000}"/>
    <cellStyle name="Note 6 11 4 4" xfId="14225" xr:uid="{00000000-0005-0000-0000-000052370000}"/>
    <cellStyle name="Note 6 11 4 5" xfId="14226" xr:uid="{00000000-0005-0000-0000-000053370000}"/>
    <cellStyle name="Note 6 11 4 6" xfId="14227" xr:uid="{00000000-0005-0000-0000-000054370000}"/>
    <cellStyle name="Note 6 11 4 7" xfId="14228" xr:uid="{00000000-0005-0000-0000-000055370000}"/>
    <cellStyle name="Note 6 11 4 8" xfId="14229" xr:uid="{00000000-0005-0000-0000-000056370000}"/>
    <cellStyle name="Note 6 11 5" xfId="14230" xr:uid="{00000000-0005-0000-0000-000057370000}"/>
    <cellStyle name="Note 6 11 5 2" xfId="14231" xr:uid="{00000000-0005-0000-0000-000058370000}"/>
    <cellStyle name="Note 6 11 5 2 2" xfId="14232" xr:uid="{00000000-0005-0000-0000-000059370000}"/>
    <cellStyle name="Note 6 11 5 3" xfId="14233" xr:uid="{00000000-0005-0000-0000-00005A370000}"/>
    <cellStyle name="Note 6 11 5 4" xfId="14234" xr:uid="{00000000-0005-0000-0000-00005B370000}"/>
    <cellStyle name="Note 6 11 6" xfId="14235" xr:uid="{00000000-0005-0000-0000-00005C370000}"/>
    <cellStyle name="Note 6 11 6 2" xfId="14236" xr:uid="{00000000-0005-0000-0000-00005D370000}"/>
    <cellStyle name="Note 6 11 7" xfId="14237" xr:uid="{00000000-0005-0000-0000-00005E370000}"/>
    <cellStyle name="Note 6 11 7 2" xfId="14238" xr:uid="{00000000-0005-0000-0000-00005F370000}"/>
    <cellStyle name="Note 6 11 8" xfId="14239" xr:uid="{00000000-0005-0000-0000-000060370000}"/>
    <cellStyle name="Note 6 11 8 2" xfId="14240" xr:uid="{00000000-0005-0000-0000-000061370000}"/>
    <cellStyle name="Note 6 11 9" xfId="14241" xr:uid="{00000000-0005-0000-0000-000062370000}"/>
    <cellStyle name="Note 6 12" xfId="14242" xr:uid="{00000000-0005-0000-0000-000063370000}"/>
    <cellStyle name="Note 6 12 10" xfId="14243" xr:uid="{00000000-0005-0000-0000-000064370000}"/>
    <cellStyle name="Note 6 12 11" xfId="14244" xr:uid="{00000000-0005-0000-0000-000065370000}"/>
    <cellStyle name="Note 6 12 12" xfId="14245" xr:uid="{00000000-0005-0000-0000-000066370000}"/>
    <cellStyle name="Note 6 12 2" xfId="14246" xr:uid="{00000000-0005-0000-0000-000067370000}"/>
    <cellStyle name="Note 6 12 2 10" xfId="14247" xr:uid="{00000000-0005-0000-0000-000068370000}"/>
    <cellStyle name="Note 6 12 2 11" xfId="14248" xr:uid="{00000000-0005-0000-0000-000069370000}"/>
    <cellStyle name="Note 6 12 2 2" xfId="14249" xr:uid="{00000000-0005-0000-0000-00006A370000}"/>
    <cellStyle name="Note 6 12 2 2 2" xfId="14250" xr:uid="{00000000-0005-0000-0000-00006B370000}"/>
    <cellStyle name="Note 6 12 2 2 2 2" xfId="14251" xr:uid="{00000000-0005-0000-0000-00006C370000}"/>
    <cellStyle name="Note 6 12 2 2 2 3" xfId="14252" xr:uid="{00000000-0005-0000-0000-00006D370000}"/>
    <cellStyle name="Note 6 12 2 2 3" xfId="14253" xr:uid="{00000000-0005-0000-0000-00006E370000}"/>
    <cellStyle name="Note 6 12 2 2 3 2" xfId="14254" xr:uid="{00000000-0005-0000-0000-00006F370000}"/>
    <cellStyle name="Note 6 12 2 2 4" xfId="14255" xr:uid="{00000000-0005-0000-0000-000070370000}"/>
    <cellStyle name="Note 6 12 2 2 5" xfId="14256" xr:uid="{00000000-0005-0000-0000-000071370000}"/>
    <cellStyle name="Note 6 12 2 2 6" xfId="14257" xr:uid="{00000000-0005-0000-0000-000072370000}"/>
    <cellStyle name="Note 6 12 2 2 7" xfId="14258" xr:uid="{00000000-0005-0000-0000-000073370000}"/>
    <cellStyle name="Note 6 12 2 2 8" xfId="14259" xr:uid="{00000000-0005-0000-0000-000074370000}"/>
    <cellStyle name="Note 6 12 2 3" xfId="14260" xr:uid="{00000000-0005-0000-0000-000075370000}"/>
    <cellStyle name="Note 6 12 2 3 2" xfId="14261" xr:uid="{00000000-0005-0000-0000-000076370000}"/>
    <cellStyle name="Note 6 12 2 3 2 2" xfId="14262" xr:uid="{00000000-0005-0000-0000-000077370000}"/>
    <cellStyle name="Note 6 12 2 3 3" xfId="14263" xr:uid="{00000000-0005-0000-0000-000078370000}"/>
    <cellStyle name="Note 6 12 2 3 4" xfId="14264" xr:uid="{00000000-0005-0000-0000-000079370000}"/>
    <cellStyle name="Note 6 12 2 4" xfId="14265" xr:uid="{00000000-0005-0000-0000-00007A370000}"/>
    <cellStyle name="Note 6 12 2 4 2" xfId="14266" xr:uid="{00000000-0005-0000-0000-00007B370000}"/>
    <cellStyle name="Note 6 12 2 5" xfId="14267" xr:uid="{00000000-0005-0000-0000-00007C370000}"/>
    <cellStyle name="Note 6 12 2 5 2" xfId="14268" xr:uid="{00000000-0005-0000-0000-00007D370000}"/>
    <cellStyle name="Note 6 12 2 6" xfId="14269" xr:uid="{00000000-0005-0000-0000-00007E370000}"/>
    <cellStyle name="Note 6 12 2 6 2" xfId="14270" xr:uid="{00000000-0005-0000-0000-00007F370000}"/>
    <cellStyle name="Note 6 12 2 7" xfId="14271" xr:uid="{00000000-0005-0000-0000-000080370000}"/>
    <cellStyle name="Note 6 12 2 8" xfId="14272" xr:uid="{00000000-0005-0000-0000-000081370000}"/>
    <cellStyle name="Note 6 12 2 9" xfId="14273" xr:uid="{00000000-0005-0000-0000-000082370000}"/>
    <cellStyle name="Note 6 12 3" xfId="14274" xr:uid="{00000000-0005-0000-0000-000083370000}"/>
    <cellStyle name="Note 6 12 3 2" xfId="14275" xr:uid="{00000000-0005-0000-0000-000084370000}"/>
    <cellStyle name="Note 6 12 3 2 2" xfId="14276" xr:uid="{00000000-0005-0000-0000-000085370000}"/>
    <cellStyle name="Note 6 12 3 2 3" xfId="14277" xr:uid="{00000000-0005-0000-0000-000086370000}"/>
    <cellStyle name="Note 6 12 3 3" xfId="14278" xr:uid="{00000000-0005-0000-0000-000087370000}"/>
    <cellStyle name="Note 6 12 3 3 2" xfId="14279" xr:uid="{00000000-0005-0000-0000-000088370000}"/>
    <cellStyle name="Note 6 12 3 4" xfId="14280" xr:uid="{00000000-0005-0000-0000-000089370000}"/>
    <cellStyle name="Note 6 12 3 5" xfId="14281" xr:uid="{00000000-0005-0000-0000-00008A370000}"/>
    <cellStyle name="Note 6 12 3 6" xfId="14282" xr:uid="{00000000-0005-0000-0000-00008B370000}"/>
    <cellStyle name="Note 6 12 3 7" xfId="14283" xr:uid="{00000000-0005-0000-0000-00008C370000}"/>
    <cellStyle name="Note 6 12 3 8" xfId="14284" xr:uid="{00000000-0005-0000-0000-00008D370000}"/>
    <cellStyle name="Note 6 12 4" xfId="14285" xr:uid="{00000000-0005-0000-0000-00008E370000}"/>
    <cellStyle name="Note 6 12 4 2" xfId="14286" xr:uid="{00000000-0005-0000-0000-00008F370000}"/>
    <cellStyle name="Note 6 12 4 2 2" xfId="14287" xr:uid="{00000000-0005-0000-0000-000090370000}"/>
    <cellStyle name="Note 6 12 4 3" xfId="14288" xr:uid="{00000000-0005-0000-0000-000091370000}"/>
    <cellStyle name="Note 6 12 4 4" xfId="14289" xr:uid="{00000000-0005-0000-0000-000092370000}"/>
    <cellStyle name="Note 6 12 5" xfId="14290" xr:uid="{00000000-0005-0000-0000-000093370000}"/>
    <cellStyle name="Note 6 12 5 2" xfId="14291" xr:uid="{00000000-0005-0000-0000-000094370000}"/>
    <cellStyle name="Note 6 12 6" xfId="14292" xr:uid="{00000000-0005-0000-0000-000095370000}"/>
    <cellStyle name="Note 6 12 6 2" xfId="14293" xr:uid="{00000000-0005-0000-0000-000096370000}"/>
    <cellStyle name="Note 6 12 7" xfId="14294" xr:uid="{00000000-0005-0000-0000-000097370000}"/>
    <cellStyle name="Note 6 12 7 2" xfId="14295" xr:uid="{00000000-0005-0000-0000-000098370000}"/>
    <cellStyle name="Note 6 12 8" xfId="14296" xr:uid="{00000000-0005-0000-0000-000099370000}"/>
    <cellStyle name="Note 6 12 9" xfId="14297" xr:uid="{00000000-0005-0000-0000-00009A370000}"/>
    <cellStyle name="Note 6 13" xfId="14298" xr:uid="{00000000-0005-0000-0000-00009B370000}"/>
    <cellStyle name="Note 6 13 10" xfId="14299" xr:uid="{00000000-0005-0000-0000-00009C370000}"/>
    <cellStyle name="Note 6 13 11" xfId="14300" xr:uid="{00000000-0005-0000-0000-00009D370000}"/>
    <cellStyle name="Note 6 13 2" xfId="14301" xr:uid="{00000000-0005-0000-0000-00009E370000}"/>
    <cellStyle name="Note 6 13 2 2" xfId="14302" xr:uid="{00000000-0005-0000-0000-00009F370000}"/>
    <cellStyle name="Note 6 13 2 2 2" xfId="14303" xr:uid="{00000000-0005-0000-0000-0000A0370000}"/>
    <cellStyle name="Note 6 13 2 2 3" xfId="14304" xr:uid="{00000000-0005-0000-0000-0000A1370000}"/>
    <cellStyle name="Note 6 13 2 3" xfId="14305" xr:uid="{00000000-0005-0000-0000-0000A2370000}"/>
    <cellStyle name="Note 6 13 2 3 2" xfId="14306" xr:uid="{00000000-0005-0000-0000-0000A3370000}"/>
    <cellStyle name="Note 6 13 2 4" xfId="14307" xr:uid="{00000000-0005-0000-0000-0000A4370000}"/>
    <cellStyle name="Note 6 13 2 5" xfId="14308" xr:uid="{00000000-0005-0000-0000-0000A5370000}"/>
    <cellStyle name="Note 6 13 2 6" xfId="14309" xr:uid="{00000000-0005-0000-0000-0000A6370000}"/>
    <cellStyle name="Note 6 13 2 7" xfId="14310" xr:uid="{00000000-0005-0000-0000-0000A7370000}"/>
    <cellStyle name="Note 6 13 2 8" xfId="14311" xr:uid="{00000000-0005-0000-0000-0000A8370000}"/>
    <cellStyle name="Note 6 13 3" xfId="14312" xr:uid="{00000000-0005-0000-0000-0000A9370000}"/>
    <cellStyle name="Note 6 13 3 2" xfId="14313" xr:uid="{00000000-0005-0000-0000-0000AA370000}"/>
    <cellStyle name="Note 6 13 3 2 2" xfId="14314" xr:uid="{00000000-0005-0000-0000-0000AB370000}"/>
    <cellStyle name="Note 6 13 3 3" xfId="14315" xr:uid="{00000000-0005-0000-0000-0000AC370000}"/>
    <cellStyle name="Note 6 13 3 4" xfId="14316" xr:uid="{00000000-0005-0000-0000-0000AD370000}"/>
    <cellStyle name="Note 6 13 4" xfId="14317" xr:uid="{00000000-0005-0000-0000-0000AE370000}"/>
    <cellStyle name="Note 6 13 4 2" xfId="14318" xr:uid="{00000000-0005-0000-0000-0000AF370000}"/>
    <cellStyle name="Note 6 13 5" xfId="14319" xr:uid="{00000000-0005-0000-0000-0000B0370000}"/>
    <cellStyle name="Note 6 13 5 2" xfId="14320" xr:uid="{00000000-0005-0000-0000-0000B1370000}"/>
    <cellStyle name="Note 6 13 6" xfId="14321" xr:uid="{00000000-0005-0000-0000-0000B2370000}"/>
    <cellStyle name="Note 6 13 6 2" xfId="14322" xr:uid="{00000000-0005-0000-0000-0000B3370000}"/>
    <cellStyle name="Note 6 13 7" xfId="14323" xr:uid="{00000000-0005-0000-0000-0000B4370000}"/>
    <cellStyle name="Note 6 13 8" xfId="14324" xr:uid="{00000000-0005-0000-0000-0000B5370000}"/>
    <cellStyle name="Note 6 13 9" xfId="14325" xr:uid="{00000000-0005-0000-0000-0000B6370000}"/>
    <cellStyle name="Note 6 14" xfId="14326" xr:uid="{00000000-0005-0000-0000-0000B7370000}"/>
    <cellStyle name="Note 6 14 2" xfId="14327" xr:uid="{00000000-0005-0000-0000-0000B8370000}"/>
    <cellStyle name="Note 6 14 2 2" xfId="14328" xr:uid="{00000000-0005-0000-0000-0000B9370000}"/>
    <cellStyle name="Note 6 14 2 3" xfId="14329" xr:uid="{00000000-0005-0000-0000-0000BA370000}"/>
    <cellStyle name="Note 6 14 3" xfId="14330" xr:uid="{00000000-0005-0000-0000-0000BB370000}"/>
    <cellStyle name="Note 6 14 3 2" xfId="14331" xr:uid="{00000000-0005-0000-0000-0000BC370000}"/>
    <cellStyle name="Note 6 14 4" xfId="14332" xr:uid="{00000000-0005-0000-0000-0000BD370000}"/>
    <cellStyle name="Note 6 14 5" xfId="14333" xr:uid="{00000000-0005-0000-0000-0000BE370000}"/>
    <cellStyle name="Note 6 14 6" xfId="14334" xr:uid="{00000000-0005-0000-0000-0000BF370000}"/>
    <cellStyle name="Note 6 14 7" xfId="14335" xr:uid="{00000000-0005-0000-0000-0000C0370000}"/>
    <cellStyle name="Note 6 14 8" xfId="14336" xr:uid="{00000000-0005-0000-0000-0000C1370000}"/>
    <cellStyle name="Note 6 15" xfId="14337" xr:uid="{00000000-0005-0000-0000-0000C2370000}"/>
    <cellStyle name="Note 6 15 2" xfId="14338" xr:uid="{00000000-0005-0000-0000-0000C3370000}"/>
    <cellStyle name="Note 6 15 2 2" xfId="14339" xr:uid="{00000000-0005-0000-0000-0000C4370000}"/>
    <cellStyle name="Note 6 15 3" xfId="14340" xr:uid="{00000000-0005-0000-0000-0000C5370000}"/>
    <cellStyle name="Note 6 15 4" xfId="14341" xr:uid="{00000000-0005-0000-0000-0000C6370000}"/>
    <cellStyle name="Note 6 16" xfId="14342" xr:uid="{00000000-0005-0000-0000-0000C7370000}"/>
    <cellStyle name="Note 6 16 2" xfId="14343" xr:uid="{00000000-0005-0000-0000-0000C8370000}"/>
    <cellStyle name="Note 6 17" xfId="14344" xr:uid="{00000000-0005-0000-0000-0000C9370000}"/>
    <cellStyle name="Note 6 17 2" xfId="14345" xr:uid="{00000000-0005-0000-0000-0000CA370000}"/>
    <cellStyle name="Note 6 18" xfId="14346" xr:uid="{00000000-0005-0000-0000-0000CB370000}"/>
    <cellStyle name="Note 6 18 2" xfId="14347" xr:uid="{00000000-0005-0000-0000-0000CC370000}"/>
    <cellStyle name="Note 6 19" xfId="14348" xr:uid="{00000000-0005-0000-0000-0000CD370000}"/>
    <cellStyle name="Note 6 2" xfId="14349" xr:uid="{00000000-0005-0000-0000-0000CE370000}"/>
    <cellStyle name="Note 6 2 2" xfId="14350" xr:uid="{00000000-0005-0000-0000-0000CF370000}"/>
    <cellStyle name="Note 6 20" xfId="14351" xr:uid="{00000000-0005-0000-0000-0000D0370000}"/>
    <cellStyle name="Note 6 21" xfId="14352" xr:uid="{00000000-0005-0000-0000-0000D1370000}"/>
    <cellStyle name="Note 6 22" xfId="14353" xr:uid="{00000000-0005-0000-0000-0000D2370000}"/>
    <cellStyle name="Note 6 23" xfId="14354" xr:uid="{00000000-0005-0000-0000-0000D3370000}"/>
    <cellStyle name="Note 6 24" xfId="14355" xr:uid="{00000000-0005-0000-0000-0000D4370000}"/>
    <cellStyle name="Note 6 3" xfId="14356" xr:uid="{00000000-0005-0000-0000-0000D5370000}"/>
    <cellStyle name="Note 6 3 2" xfId="14357" xr:uid="{00000000-0005-0000-0000-0000D6370000}"/>
    <cellStyle name="Note 6 4" xfId="14358" xr:uid="{00000000-0005-0000-0000-0000D7370000}"/>
    <cellStyle name="Note 6 4 2" xfId="14359" xr:uid="{00000000-0005-0000-0000-0000D8370000}"/>
    <cellStyle name="Note 6 5" xfId="14360" xr:uid="{00000000-0005-0000-0000-0000D9370000}"/>
    <cellStyle name="Note 6 6" xfId="14361" xr:uid="{00000000-0005-0000-0000-0000DA370000}"/>
    <cellStyle name="Note 6 7" xfId="14362" xr:uid="{00000000-0005-0000-0000-0000DB370000}"/>
    <cellStyle name="Note 6 8" xfId="14363" xr:uid="{00000000-0005-0000-0000-0000DC370000}"/>
    <cellStyle name="Note 6 8 10" xfId="14364" xr:uid="{00000000-0005-0000-0000-0000DD370000}"/>
    <cellStyle name="Note 6 8 11" xfId="14365" xr:uid="{00000000-0005-0000-0000-0000DE370000}"/>
    <cellStyle name="Note 6 8 12" xfId="14366" xr:uid="{00000000-0005-0000-0000-0000DF370000}"/>
    <cellStyle name="Note 6 8 13" xfId="14367" xr:uid="{00000000-0005-0000-0000-0000E0370000}"/>
    <cellStyle name="Note 6 8 14" xfId="14368" xr:uid="{00000000-0005-0000-0000-0000E1370000}"/>
    <cellStyle name="Note 6 8 2" xfId="14369" xr:uid="{00000000-0005-0000-0000-0000E2370000}"/>
    <cellStyle name="Note 6 8 2 10" xfId="14370" xr:uid="{00000000-0005-0000-0000-0000E3370000}"/>
    <cellStyle name="Note 6 8 2 11" xfId="14371" xr:uid="{00000000-0005-0000-0000-0000E4370000}"/>
    <cellStyle name="Note 6 8 2 12" xfId="14372" xr:uid="{00000000-0005-0000-0000-0000E5370000}"/>
    <cellStyle name="Note 6 8 2 13" xfId="14373" xr:uid="{00000000-0005-0000-0000-0000E6370000}"/>
    <cellStyle name="Note 6 8 2 2" xfId="14374" xr:uid="{00000000-0005-0000-0000-0000E7370000}"/>
    <cellStyle name="Note 6 8 2 2 10" xfId="14375" xr:uid="{00000000-0005-0000-0000-0000E8370000}"/>
    <cellStyle name="Note 6 8 2 2 11" xfId="14376" xr:uid="{00000000-0005-0000-0000-0000E9370000}"/>
    <cellStyle name="Note 6 8 2 2 12" xfId="14377" xr:uid="{00000000-0005-0000-0000-0000EA370000}"/>
    <cellStyle name="Note 6 8 2 2 2" xfId="14378" xr:uid="{00000000-0005-0000-0000-0000EB370000}"/>
    <cellStyle name="Note 6 8 2 2 2 10" xfId="14379" xr:uid="{00000000-0005-0000-0000-0000EC370000}"/>
    <cellStyle name="Note 6 8 2 2 2 11" xfId="14380" xr:uid="{00000000-0005-0000-0000-0000ED370000}"/>
    <cellStyle name="Note 6 8 2 2 2 2" xfId="14381" xr:uid="{00000000-0005-0000-0000-0000EE370000}"/>
    <cellStyle name="Note 6 8 2 2 2 2 2" xfId="14382" xr:uid="{00000000-0005-0000-0000-0000EF370000}"/>
    <cellStyle name="Note 6 8 2 2 2 2 2 2" xfId="14383" xr:uid="{00000000-0005-0000-0000-0000F0370000}"/>
    <cellStyle name="Note 6 8 2 2 2 2 2 3" xfId="14384" xr:uid="{00000000-0005-0000-0000-0000F1370000}"/>
    <cellStyle name="Note 6 8 2 2 2 2 3" xfId="14385" xr:uid="{00000000-0005-0000-0000-0000F2370000}"/>
    <cellStyle name="Note 6 8 2 2 2 2 3 2" xfId="14386" xr:uid="{00000000-0005-0000-0000-0000F3370000}"/>
    <cellStyle name="Note 6 8 2 2 2 2 4" xfId="14387" xr:uid="{00000000-0005-0000-0000-0000F4370000}"/>
    <cellStyle name="Note 6 8 2 2 2 2 5" xfId="14388" xr:uid="{00000000-0005-0000-0000-0000F5370000}"/>
    <cellStyle name="Note 6 8 2 2 2 2 6" xfId="14389" xr:uid="{00000000-0005-0000-0000-0000F6370000}"/>
    <cellStyle name="Note 6 8 2 2 2 2 7" xfId="14390" xr:uid="{00000000-0005-0000-0000-0000F7370000}"/>
    <cellStyle name="Note 6 8 2 2 2 2 8" xfId="14391" xr:uid="{00000000-0005-0000-0000-0000F8370000}"/>
    <cellStyle name="Note 6 8 2 2 2 3" xfId="14392" xr:uid="{00000000-0005-0000-0000-0000F9370000}"/>
    <cellStyle name="Note 6 8 2 2 2 3 2" xfId="14393" xr:uid="{00000000-0005-0000-0000-0000FA370000}"/>
    <cellStyle name="Note 6 8 2 2 2 3 2 2" xfId="14394" xr:uid="{00000000-0005-0000-0000-0000FB370000}"/>
    <cellStyle name="Note 6 8 2 2 2 3 3" xfId="14395" xr:uid="{00000000-0005-0000-0000-0000FC370000}"/>
    <cellStyle name="Note 6 8 2 2 2 3 4" xfId="14396" xr:uid="{00000000-0005-0000-0000-0000FD370000}"/>
    <cellStyle name="Note 6 8 2 2 2 4" xfId="14397" xr:uid="{00000000-0005-0000-0000-0000FE370000}"/>
    <cellStyle name="Note 6 8 2 2 2 4 2" xfId="14398" xr:uid="{00000000-0005-0000-0000-0000FF370000}"/>
    <cellStyle name="Note 6 8 2 2 2 5" xfId="14399" xr:uid="{00000000-0005-0000-0000-000000380000}"/>
    <cellStyle name="Note 6 8 2 2 2 5 2" xfId="14400" xr:uid="{00000000-0005-0000-0000-000001380000}"/>
    <cellStyle name="Note 6 8 2 2 2 6" xfId="14401" xr:uid="{00000000-0005-0000-0000-000002380000}"/>
    <cellStyle name="Note 6 8 2 2 2 6 2" xfId="14402" xr:uid="{00000000-0005-0000-0000-000003380000}"/>
    <cellStyle name="Note 6 8 2 2 2 7" xfId="14403" xr:uid="{00000000-0005-0000-0000-000004380000}"/>
    <cellStyle name="Note 6 8 2 2 2 8" xfId="14404" xr:uid="{00000000-0005-0000-0000-000005380000}"/>
    <cellStyle name="Note 6 8 2 2 2 9" xfId="14405" xr:uid="{00000000-0005-0000-0000-000006380000}"/>
    <cellStyle name="Note 6 8 2 2 3" xfId="14406" xr:uid="{00000000-0005-0000-0000-000007380000}"/>
    <cellStyle name="Note 6 8 2 2 3 2" xfId="14407" xr:uid="{00000000-0005-0000-0000-000008380000}"/>
    <cellStyle name="Note 6 8 2 2 3 2 2" xfId="14408" xr:uid="{00000000-0005-0000-0000-000009380000}"/>
    <cellStyle name="Note 6 8 2 2 3 2 3" xfId="14409" xr:uid="{00000000-0005-0000-0000-00000A380000}"/>
    <cellStyle name="Note 6 8 2 2 3 3" xfId="14410" xr:uid="{00000000-0005-0000-0000-00000B380000}"/>
    <cellStyle name="Note 6 8 2 2 3 3 2" xfId="14411" xr:uid="{00000000-0005-0000-0000-00000C380000}"/>
    <cellStyle name="Note 6 8 2 2 3 4" xfId="14412" xr:uid="{00000000-0005-0000-0000-00000D380000}"/>
    <cellStyle name="Note 6 8 2 2 3 5" xfId="14413" xr:uid="{00000000-0005-0000-0000-00000E380000}"/>
    <cellStyle name="Note 6 8 2 2 3 6" xfId="14414" xr:uid="{00000000-0005-0000-0000-00000F380000}"/>
    <cellStyle name="Note 6 8 2 2 3 7" xfId="14415" xr:uid="{00000000-0005-0000-0000-000010380000}"/>
    <cellStyle name="Note 6 8 2 2 3 8" xfId="14416" xr:uid="{00000000-0005-0000-0000-000011380000}"/>
    <cellStyle name="Note 6 8 2 2 4" xfId="14417" xr:uid="{00000000-0005-0000-0000-000012380000}"/>
    <cellStyle name="Note 6 8 2 2 4 2" xfId="14418" xr:uid="{00000000-0005-0000-0000-000013380000}"/>
    <cellStyle name="Note 6 8 2 2 4 2 2" xfId="14419" xr:uid="{00000000-0005-0000-0000-000014380000}"/>
    <cellStyle name="Note 6 8 2 2 4 3" xfId="14420" xr:uid="{00000000-0005-0000-0000-000015380000}"/>
    <cellStyle name="Note 6 8 2 2 4 4" xfId="14421" xr:uid="{00000000-0005-0000-0000-000016380000}"/>
    <cellStyle name="Note 6 8 2 2 5" xfId="14422" xr:uid="{00000000-0005-0000-0000-000017380000}"/>
    <cellStyle name="Note 6 8 2 2 5 2" xfId="14423" xr:uid="{00000000-0005-0000-0000-000018380000}"/>
    <cellStyle name="Note 6 8 2 2 6" xfId="14424" xr:uid="{00000000-0005-0000-0000-000019380000}"/>
    <cellStyle name="Note 6 8 2 2 6 2" xfId="14425" xr:uid="{00000000-0005-0000-0000-00001A380000}"/>
    <cellStyle name="Note 6 8 2 2 7" xfId="14426" xr:uid="{00000000-0005-0000-0000-00001B380000}"/>
    <cellStyle name="Note 6 8 2 2 7 2" xfId="14427" xr:uid="{00000000-0005-0000-0000-00001C380000}"/>
    <cellStyle name="Note 6 8 2 2 8" xfId="14428" xr:uid="{00000000-0005-0000-0000-00001D380000}"/>
    <cellStyle name="Note 6 8 2 2 9" xfId="14429" xr:uid="{00000000-0005-0000-0000-00001E380000}"/>
    <cellStyle name="Note 6 8 2 3" xfId="14430" xr:uid="{00000000-0005-0000-0000-00001F380000}"/>
    <cellStyle name="Note 6 8 2 3 10" xfId="14431" xr:uid="{00000000-0005-0000-0000-000020380000}"/>
    <cellStyle name="Note 6 8 2 3 11" xfId="14432" xr:uid="{00000000-0005-0000-0000-000021380000}"/>
    <cellStyle name="Note 6 8 2 3 2" xfId="14433" xr:uid="{00000000-0005-0000-0000-000022380000}"/>
    <cellStyle name="Note 6 8 2 3 2 2" xfId="14434" xr:uid="{00000000-0005-0000-0000-000023380000}"/>
    <cellStyle name="Note 6 8 2 3 2 2 2" xfId="14435" xr:uid="{00000000-0005-0000-0000-000024380000}"/>
    <cellStyle name="Note 6 8 2 3 2 2 3" xfId="14436" xr:uid="{00000000-0005-0000-0000-000025380000}"/>
    <cellStyle name="Note 6 8 2 3 2 3" xfId="14437" xr:uid="{00000000-0005-0000-0000-000026380000}"/>
    <cellStyle name="Note 6 8 2 3 2 3 2" xfId="14438" xr:uid="{00000000-0005-0000-0000-000027380000}"/>
    <cellStyle name="Note 6 8 2 3 2 4" xfId="14439" xr:uid="{00000000-0005-0000-0000-000028380000}"/>
    <cellStyle name="Note 6 8 2 3 2 5" xfId="14440" xr:uid="{00000000-0005-0000-0000-000029380000}"/>
    <cellStyle name="Note 6 8 2 3 2 6" xfId="14441" xr:uid="{00000000-0005-0000-0000-00002A380000}"/>
    <cellStyle name="Note 6 8 2 3 2 7" xfId="14442" xr:uid="{00000000-0005-0000-0000-00002B380000}"/>
    <cellStyle name="Note 6 8 2 3 2 8" xfId="14443" xr:uid="{00000000-0005-0000-0000-00002C380000}"/>
    <cellStyle name="Note 6 8 2 3 3" xfId="14444" xr:uid="{00000000-0005-0000-0000-00002D380000}"/>
    <cellStyle name="Note 6 8 2 3 3 2" xfId="14445" xr:uid="{00000000-0005-0000-0000-00002E380000}"/>
    <cellStyle name="Note 6 8 2 3 3 2 2" xfId="14446" xr:uid="{00000000-0005-0000-0000-00002F380000}"/>
    <cellStyle name="Note 6 8 2 3 3 3" xfId="14447" xr:uid="{00000000-0005-0000-0000-000030380000}"/>
    <cellStyle name="Note 6 8 2 3 3 4" xfId="14448" xr:uid="{00000000-0005-0000-0000-000031380000}"/>
    <cellStyle name="Note 6 8 2 3 4" xfId="14449" xr:uid="{00000000-0005-0000-0000-000032380000}"/>
    <cellStyle name="Note 6 8 2 3 4 2" xfId="14450" xr:uid="{00000000-0005-0000-0000-000033380000}"/>
    <cellStyle name="Note 6 8 2 3 5" xfId="14451" xr:uid="{00000000-0005-0000-0000-000034380000}"/>
    <cellStyle name="Note 6 8 2 3 5 2" xfId="14452" xr:uid="{00000000-0005-0000-0000-000035380000}"/>
    <cellStyle name="Note 6 8 2 3 6" xfId="14453" xr:uid="{00000000-0005-0000-0000-000036380000}"/>
    <cellStyle name="Note 6 8 2 3 6 2" xfId="14454" xr:uid="{00000000-0005-0000-0000-000037380000}"/>
    <cellStyle name="Note 6 8 2 3 7" xfId="14455" xr:uid="{00000000-0005-0000-0000-000038380000}"/>
    <cellStyle name="Note 6 8 2 3 8" xfId="14456" xr:uid="{00000000-0005-0000-0000-000039380000}"/>
    <cellStyle name="Note 6 8 2 3 9" xfId="14457" xr:uid="{00000000-0005-0000-0000-00003A380000}"/>
    <cellStyle name="Note 6 8 2 4" xfId="14458" xr:uid="{00000000-0005-0000-0000-00003B380000}"/>
    <cellStyle name="Note 6 8 2 4 2" xfId="14459" xr:uid="{00000000-0005-0000-0000-00003C380000}"/>
    <cellStyle name="Note 6 8 2 4 2 2" xfId="14460" xr:uid="{00000000-0005-0000-0000-00003D380000}"/>
    <cellStyle name="Note 6 8 2 4 2 3" xfId="14461" xr:uid="{00000000-0005-0000-0000-00003E380000}"/>
    <cellStyle name="Note 6 8 2 4 3" xfId="14462" xr:uid="{00000000-0005-0000-0000-00003F380000}"/>
    <cellStyle name="Note 6 8 2 4 3 2" xfId="14463" xr:uid="{00000000-0005-0000-0000-000040380000}"/>
    <cellStyle name="Note 6 8 2 4 4" xfId="14464" xr:uid="{00000000-0005-0000-0000-000041380000}"/>
    <cellStyle name="Note 6 8 2 4 5" xfId="14465" xr:uid="{00000000-0005-0000-0000-000042380000}"/>
    <cellStyle name="Note 6 8 2 4 6" xfId="14466" xr:uid="{00000000-0005-0000-0000-000043380000}"/>
    <cellStyle name="Note 6 8 2 4 7" xfId="14467" xr:uid="{00000000-0005-0000-0000-000044380000}"/>
    <cellStyle name="Note 6 8 2 4 8" xfId="14468" xr:uid="{00000000-0005-0000-0000-000045380000}"/>
    <cellStyle name="Note 6 8 2 5" xfId="14469" xr:uid="{00000000-0005-0000-0000-000046380000}"/>
    <cellStyle name="Note 6 8 2 5 2" xfId="14470" xr:uid="{00000000-0005-0000-0000-000047380000}"/>
    <cellStyle name="Note 6 8 2 5 2 2" xfId="14471" xr:uid="{00000000-0005-0000-0000-000048380000}"/>
    <cellStyle name="Note 6 8 2 5 3" xfId="14472" xr:uid="{00000000-0005-0000-0000-000049380000}"/>
    <cellStyle name="Note 6 8 2 5 4" xfId="14473" xr:uid="{00000000-0005-0000-0000-00004A380000}"/>
    <cellStyle name="Note 6 8 2 6" xfId="14474" xr:uid="{00000000-0005-0000-0000-00004B380000}"/>
    <cellStyle name="Note 6 8 2 6 2" xfId="14475" xr:uid="{00000000-0005-0000-0000-00004C380000}"/>
    <cellStyle name="Note 6 8 2 7" xfId="14476" xr:uid="{00000000-0005-0000-0000-00004D380000}"/>
    <cellStyle name="Note 6 8 2 7 2" xfId="14477" xr:uid="{00000000-0005-0000-0000-00004E380000}"/>
    <cellStyle name="Note 6 8 2 8" xfId="14478" xr:uid="{00000000-0005-0000-0000-00004F380000}"/>
    <cellStyle name="Note 6 8 2 8 2" xfId="14479" xr:uid="{00000000-0005-0000-0000-000050380000}"/>
    <cellStyle name="Note 6 8 2 9" xfId="14480" xr:uid="{00000000-0005-0000-0000-000051380000}"/>
    <cellStyle name="Note 6 8 3" xfId="14481" xr:uid="{00000000-0005-0000-0000-000052380000}"/>
    <cellStyle name="Note 6 8 3 10" xfId="14482" xr:uid="{00000000-0005-0000-0000-000053380000}"/>
    <cellStyle name="Note 6 8 3 11" xfId="14483" xr:uid="{00000000-0005-0000-0000-000054380000}"/>
    <cellStyle name="Note 6 8 3 12" xfId="14484" xr:uid="{00000000-0005-0000-0000-000055380000}"/>
    <cellStyle name="Note 6 8 3 2" xfId="14485" xr:uid="{00000000-0005-0000-0000-000056380000}"/>
    <cellStyle name="Note 6 8 3 2 10" xfId="14486" xr:uid="{00000000-0005-0000-0000-000057380000}"/>
    <cellStyle name="Note 6 8 3 2 11" xfId="14487" xr:uid="{00000000-0005-0000-0000-000058380000}"/>
    <cellStyle name="Note 6 8 3 2 2" xfId="14488" xr:uid="{00000000-0005-0000-0000-000059380000}"/>
    <cellStyle name="Note 6 8 3 2 2 2" xfId="14489" xr:uid="{00000000-0005-0000-0000-00005A380000}"/>
    <cellStyle name="Note 6 8 3 2 2 2 2" xfId="14490" xr:uid="{00000000-0005-0000-0000-00005B380000}"/>
    <cellStyle name="Note 6 8 3 2 2 2 3" xfId="14491" xr:uid="{00000000-0005-0000-0000-00005C380000}"/>
    <cellStyle name="Note 6 8 3 2 2 3" xfId="14492" xr:uid="{00000000-0005-0000-0000-00005D380000}"/>
    <cellStyle name="Note 6 8 3 2 2 3 2" xfId="14493" xr:uid="{00000000-0005-0000-0000-00005E380000}"/>
    <cellStyle name="Note 6 8 3 2 2 4" xfId="14494" xr:uid="{00000000-0005-0000-0000-00005F380000}"/>
    <cellStyle name="Note 6 8 3 2 2 5" xfId="14495" xr:uid="{00000000-0005-0000-0000-000060380000}"/>
    <cellStyle name="Note 6 8 3 2 2 6" xfId="14496" xr:uid="{00000000-0005-0000-0000-000061380000}"/>
    <cellStyle name="Note 6 8 3 2 2 7" xfId="14497" xr:uid="{00000000-0005-0000-0000-000062380000}"/>
    <cellStyle name="Note 6 8 3 2 2 8" xfId="14498" xr:uid="{00000000-0005-0000-0000-000063380000}"/>
    <cellStyle name="Note 6 8 3 2 3" xfId="14499" xr:uid="{00000000-0005-0000-0000-000064380000}"/>
    <cellStyle name="Note 6 8 3 2 3 2" xfId="14500" xr:uid="{00000000-0005-0000-0000-000065380000}"/>
    <cellStyle name="Note 6 8 3 2 3 2 2" xfId="14501" xr:uid="{00000000-0005-0000-0000-000066380000}"/>
    <cellStyle name="Note 6 8 3 2 3 3" xfId="14502" xr:uid="{00000000-0005-0000-0000-000067380000}"/>
    <cellStyle name="Note 6 8 3 2 3 4" xfId="14503" xr:uid="{00000000-0005-0000-0000-000068380000}"/>
    <cellStyle name="Note 6 8 3 2 4" xfId="14504" xr:uid="{00000000-0005-0000-0000-000069380000}"/>
    <cellStyle name="Note 6 8 3 2 4 2" xfId="14505" xr:uid="{00000000-0005-0000-0000-00006A380000}"/>
    <cellStyle name="Note 6 8 3 2 5" xfId="14506" xr:uid="{00000000-0005-0000-0000-00006B380000}"/>
    <cellStyle name="Note 6 8 3 2 5 2" xfId="14507" xr:uid="{00000000-0005-0000-0000-00006C380000}"/>
    <cellStyle name="Note 6 8 3 2 6" xfId="14508" xr:uid="{00000000-0005-0000-0000-00006D380000}"/>
    <cellStyle name="Note 6 8 3 2 6 2" xfId="14509" xr:uid="{00000000-0005-0000-0000-00006E380000}"/>
    <cellStyle name="Note 6 8 3 2 7" xfId="14510" xr:uid="{00000000-0005-0000-0000-00006F380000}"/>
    <cellStyle name="Note 6 8 3 2 8" xfId="14511" xr:uid="{00000000-0005-0000-0000-000070380000}"/>
    <cellStyle name="Note 6 8 3 2 9" xfId="14512" xr:uid="{00000000-0005-0000-0000-000071380000}"/>
    <cellStyle name="Note 6 8 3 3" xfId="14513" xr:uid="{00000000-0005-0000-0000-000072380000}"/>
    <cellStyle name="Note 6 8 3 3 2" xfId="14514" xr:uid="{00000000-0005-0000-0000-000073380000}"/>
    <cellStyle name="Note 6 8 3 3 2 2" xfId="14515" xr:uid="{00000000-0005-0000-0000-000074380000}"/>
    <cellStyle name="Note 6 8 3 3 2 3" xfId="14516" xr:uid="{00000000-0005-0000-0000-000075380000}"/>
    <cellStyle name="Note 6 8 3 3 3" xfId="14517" xr:uid="{00000000-0005-0000-0000-000076380000}"/>
    <cellStyle name="Note 6 8 3 3 3 2" xfId="14518" xr:uid="{00000000-0005-0000-0000-000077380000}"/>
    <cellStyle name="Note 6 8 3 3 4" xfId="14519" xr:uid="{00000000-0005-0000-0000-000078380000}"/>
    <cellStyle name="Note 6 8 3 3 5" xfId="14520" xr:uid="{00000000-0005-0000-0000-000079380000}"/>
    <cellStyle name="Note 6 8 3 3 6" xfId="14521" xr:uid="{00000000-0005-0000-0000-00007A380000}"/>
    <cellStyle name="Note 6 8 3 3 7" xfId="14522" xr:uid="{00000000-0005-0000-0000-00007B380000}"/>
    <cellStyle name="Note 6 8 3 3 8" xfId="14523" xr:uid="{00000000-0005-0000-0000-00007C380000}"/>
    <cellStyle name="Note 6 8 3 4" xfId="14524" xr:uid="{00000000-0005-0000-0000-00007D380000}"/>
    <cellStyle name="Note 6 8 3 4 2" xfId="14525" xr:uid="{00000000-0005-0000-0000-00007E380000}"/>
    <cellStyle name="Note 6 8 3 4 2 2" xfId="14526" xr:uid="{00000000-0005-0000-0000-00007F380000}"/>
    <cellStyle name="Note 6 8 3 4 3" xfId="14527" xr:uid="{00000000-0005-0000-0000-000080380000}"/>
    <cellStyle name="Note 6 8 3 4 4" xfId="14528" xr:uid="{00000000-0005-0000-0000-000081380000}"/>
    <cellStyle name="Note 6 8 3 5" xfId="14529" xr:uid="{00000000-0005-0000-0000-000082380000}"/>
    <cellStyle name="Note 6 8 3 5 2" xfId="14530" xr:uid="{00000000-0005-0000-0000-000083380000}"/>
    <cellStyle name="Note 6 8 3 6" xfId="14531" xr:uid="{00000000-0005-0000-0000-000084380000}"/>
    <cellStyle name="Note 6 8 3 6 2" xfId="14532" xr:uid="{00000000-0005-0000-0000-000085380000}"/>
    <cellStyle name="Note 6 8 3 7" xfId="14533" xr:uid="{00000000-0005-0000-0000-000086380000}"/>
    <cellStyle name="Note 6 8 3 7 2" xfId="14534" xr:uid="{00000000-0005-0000-0000-000087380000}"/>
    <cellStyle name="Note 6 8 3 8" xfId="14535" xr:uid="{00000000-0005-0000-0000-000088380000}"/>
    <cellStyle name="Note 6 8 3 9" xfId="14536" xr:uid="{00000000-0005-0000-0000-000089380000}"/>
    <cellStyle name="Note 6 8 4" xfId="14537" xr:uid="{00000000-0005-0000-0000-00008A380000}"/>
    <cellStyle name="Note 6 8 4 10" xfId="14538" xr:uid="{00000000-0005-0000-0000-00008B380000}"/>
    <cellStyle name="Note 6 8 4 11" xfId="14539" xr:uid="{00000000-0005-0000-0000-00008C380000}"/>
    <cellStyle name="Note 6 8 4 2" xfId="14540" xr:uid="{00000000-0005-0000-0000-00008D380000}"/>
    <cellStyle name="Note 6 8 4 2 2" xfId="14541" xr:uid="{00000000-0005-0000-0000-00008E380000}"/>
    <cellStyle name="Note 6 8 4 2 2 2" xfId="14542" xr:uid="{00000000-0005-0000-0000-00008F380000}"/>
    <cellStyle name="Note 6 8 4 2 2 3" xfId="14543" xr:uid="{00000000-0005-0000-0000-000090380000}"/>
    <cellStyle name="Note 6 8 4 2 3" xfId="14544" xr:uid="{00000000-0005-0000-0000-000091380000}"/>
    <cellStyle name="Note 6 8 4 2 3 2" xfId="14545" xr:uid="{00000000-0005-0000-0000-000092380000}"/>
    <cellStyle name="Note 6 8 4 2 4" xfId="14546" xr:uid="{00000000-0005-0000-0000-000093380000}"/>
    <cellStyle name="Note 6 8 4 2 5" xfId="14547" xr:uid="{00000000-0005-0000-0000-000094380000}"/>
    <cellStyle name="Note 6 8 4 2 6" xfId="14548" xr:uid="{00000000-0005-0000-0000-000095380000}"/>
    <cellStyle name="Note 6 8 4 2 7" xfId="14549" xr:uid="{00000000-0005-0000-0000-000096380000}"/>
    <cellStyle name="Note 6 8 4 2 8" xfId="14550" xr:uid="{00000000-0005-0000-0000-000097380000}"/>
    <cellStyle name="Note 6 8 4 3" xfId="14551" xr:uid="{00000000-0005-0000-0000-000098380000}"/>
    <cellStyle name="Note 6 8 4 3 2" xfId="14552" xr:uid="{00000000-0005-0000-0000-000099380000}"/>
    <cellStyle name="Note 6 8 4 3 2 2" xfId="14553" xr:uid="{00000000-0005-0000-0000-00009A380000}"/>
    <cellStyle name="Note 6 8 4 3 3" xfId="14554" xr:uid="{00000000-0005-0000-0000-00009B380000}"/>
    <cellStyle name="Note 6 8 4 3 4" xfId="14555" xr:uid="{00000000-0005-0000-0000-00009C380000}"/>
    <cellStyle name="Note 6 8 4 4" xfId="14556" xr:uid="{00000000-0005-0000-0000-00009D380000}"/>
    <cellStyle name="Note 6 8 4 4 2" xfId="14557" xr:uid="{00000000-0005-0000-0000-00009E380000}"/>
    <cellStyle name="Note 6 8 4 5" xfId="14558" xr:uid="{00000000-0005-0000-0000-00009F380000}"/>
    <cellStyle name="Note 6 8 4 5 2" xfId="14559" xr:uid="{00000000-0005-0000-0000-0000A0380000}"/>
    <cellStyle name="Note 6 8 4 6" xfId="14560" xr:uid="{00000000-0005-0000-0000-0000A1380000}"/>
    <cellStyle name="Note 6 8 4 6 2" xfId="14561" xr:uid="{00000000-0005-0000-0000-0000A2380000}"/>
    <cellStyle name="Note 6 8 4 7" xfId="14562" xr:uid="{00000000-0005-0000-0000-0000A3380000}"/>
    <cellStyle name="Note 6 8 4 8" xfId="14563" xr:uid="{00000000-0005-0000-0000-0000A4380000}"/>
    <cellStyle name="Note 6 8 4 9" xfId="14564" xr:uid="{00000000-0005-0000-0000-0000A5380000}"/>
    <cellStyle name="Note 6 8 5" xfId="14565" xr:uid="{00000000-0005-0000-0000-0000A6380000}"/>
    <cellStyle name="Note 6 8 5 2" xfId="14566" xr:uid="{00000000-0005-0000-0000-0000A7380000}"/>
    <cellStyle name="Note 6 8 5 2 2" xfId="14567" xr:uid="{00000000-0005-0000-0000-0000A8380000}"/>
    <cellStyle name="Note 6 8 5 2 3" xfId="14568" xr:uid="{00000000-0005-0000-0000-0000A9380000}"/>
    <cellStyle name="Note 6 8 5 3" xfId="14569" xr:uid="{00000000-0005-0000-0000-0000AA380000}"/>
    <cellStyle name="Note 6 8 5 3 2" xfId="14570" xr:uid="{00000000-0005-0000-0000-0000AB380000}"/>
    <cellStyle name="Note 6 8 5 4" xfId="14571" xr:uid="{00000000-0005-0000-0000-0000AC380000}"/>
    <cellStyle name="Note 6 8 5 5" xfId="14572" xr:uid="{00000000-0005-0000-0000-0000AD380000}"/>
    <cellStyle name="Note 6 8 5 6" xfId="14573" xr:uid="{00000000-0005-0000-0000-0000AE380000}"/>
    <cellStyle name="Note 6 8 5 7" xfId="14574" xr:uid="{00000000-0005-0000-0000-0000AF380000}"/>
    <cellStyle name="Note 6 8 5 8" xfId="14575" xr:uid="{00000000-0005-0000-0000-0000B0380000}"/>
    <cellStyle name="Note 6 8 6" xfId="14576" xr:uid="{00000000-0005-0000-0000-0000B1380000}"/>
    <cellStyle name="Note 6 8 6 2" xfId="14577" xr:uid="{00000000-0005-0000-0000-0000B2380000}"/>
    <cellStyle name="Note 6 8 6 2 2" xfId="14578" xr:uid="{00000000-0005-0000-0000-0000B3380000}"/>
    <cellStyle name="Note 6 8 6 3" xfId="14579" xr:uid="{00000000-0005-0000-0000-0000B4380000}"/>
    <cellStyle name="Note 6 8 6 4" xfId="14580" xr:uid="{00000000-0005-0000-0000-0000B5380000}"/>
    <cellStyle name="Note 6 8 7" xfId="14581" xr:uid="{00000000-0005-0000-0000-0000B6380000}"/>
    <cellStyle name="Note 6 8 7 2" xfId="14582" xr:uid="{00000000-0005-0000-0000-0000B7380000}"/>
    <cellStyle name="Note 6 8 8" xfId="14583" xr:uid="{00000000-0005-0000-0000-0000B8380000}"/>
    <cellStyle name="Note 6 8 8 2" xfId="14584" xr:uid="{00000000-0005-0000-0000-0000B9380000}"/>
    <cellStyle name="Note 6 8 9" xfId="14585" xr:uid="{00000000-0005-0000-0000-0000BA380000}"/>
    <cellStyle name="Note 6 8 9 2" xfId="14586" xr:uid="{00000000-0005-0000-0000-0000BB380000}"/>
    <cellStyle name="Note 6 9" xfId="14587" xr:uid="{00000000-0005-0000-0000-0000BC380000}"/>
    <cellStyle name="Note 7" xfId="3123" xr:uid="{00000000-0005-0000-0000-0000BD380000}"/>
    <cellStyle name="Note 7 10" xfId="14588" xr:uid="{00000000-0005-0000-0000-0000BE380000}"/>
    <cellStyle name="Note 7 11" xfId="14589" xr:uid="{00000000-0005-0000-0000-0000BF380000}"/>
    <cellStyle name="Note 7 11 10" xfId="14590" xr:uid="{00000000-0005-0000-0000-0000C0380000}"/>
    <cellStyle name="Note 7 11 11" xfId="14591" xr:uid="{00000000-0005-0000-0000-0000C1380000}"/>
    <cellStyle name="Note 7 11 12" xfId="14592" xr:uid="{00000000-0005-0000-0000-0000C2380000}"/>
    <cellStyle name="Note 7 11 13" xfId="14593" xr:uid="{00000000-0005-0000-0000-0000C3380000}"/>
    <cellStyle name="Note 7 11 2" xfId="14594" xr:uid="{00000000-0005-0000-0000-0000C4380000}"/>
    <cellStyle name="Note 7 11 2 10" xfId="14595" xr:uid="{00000000-0005-0000-0000-0000C5380000}"/>
    <cellStyle name="Note 7 11 2 11" xfId="14596" xr:uid="{00000000-0005-0000-0000-0000C6380000}"/>
    <cellStyle name="Note 7 11 2 12" xfId="14597" xr:uid="{00000000-0005-0000-0000-0000C7380000}"/>
    <cellStyle name="Note 7 11 2 2" xfId="14598" xr:uid="{00000000-0005-0000-0000-0000C8380000}"/>
    <cellStyle name="Note 7 11 2 2 10" xfId="14599" xr:uid="{00000000-0005-0000-0000-0000C9380000}"/>
    <cellStyle name="Note 7 11 2 2 11" xfId="14600" xr:uid="{00000000-0005-0000-0000-0000CA380000}"/>
    <cellStyle name="Note 7 11 2 2 2" xfId="14601" xr:uid="{00000000-0005-0000-0000-0000CB380000}"/>
    <cellStyle name="Note 7 11 2 2 2 2" xfId="14602" xr:uid="{00000000-0005-0000-0000-0000CC380000}"/>
    <cellStyle name="Note 7 11 2 2 2 2 2" xfId="14603" xr:uid="{00000000-0005-0000-0000-0000CD380000}"/>
    <cellStyle name="Note 7 11 2 2 2 2 3" xfId="14604" xr:uid="{00000000-0005-0000-0000-0000CE380000}"/>
    <cellStyle name="Note 7 11 2 2 2 3" xfId="14605" xr:uid="{00000000-0005-0000-0000-0000CF380000}"/>
    <cellStyle name="Note 7 11 2 2 2 3 2" xfId="14606" xr:uid="{00000000-0005-0000-0000-0000D0380000}"/>
    <cellStyle name="Note 7 11 2 2 2 4" xfId="14607" xr:uid="{00000000-0005-0000-0000-0000D1380000}"/>
    <cellStyle name="Note 7 11 2 2 2 5" xfId="14608" xr:uid="{00000000-0005-0000-0000-0000D2380000}"/>
    <cellStyle name="Note 7 11 2 2 2 6" xfId="14609" xr:uid="{00000000-0005-0000-0000-0000D3380000}"/>
    <cellStyle name="Note 7 11 2 2 2 7" xfId="14610" xr:uid="{00000000-0005-0000-0000-0000D4380000}"/>
    <cellStyle name="Note 7 11 2 2 2 8" xfId="14611" xr:uid="{00000000-0005-0000-0000-0000D5380000}"/>
    <cellStyle name="Note 7 11 2 2 3" xfId="14612" xr:uid="{00000000-0005-0000-0000-0000D6380000}"/>
    <cellStyle name="Note 7 11 2 2 3 2" xfId="14613" xr:uid="{00000000-0005-0000-0000-0000D7380000}"/>
    <cellStyle name="Note 7 11 2 2 3 2 2" xfId="14614" xr:uid="{00000000-0005-0000-0000-0000D8380000}"/>
    <cellStyle name="Note 7 11 2 2 3 3" xfId="14615" xr:uid="{00000000-0005-0000-0000-0000D9380000}"/>
    <cellStyle name="Note 7 11 2 2 3 4" xfId="14616" xr:uid="{00000000-0005-0000-0000-0000DA380000}"/>
    <cellStyle name="Note 7 11 2 2 4" xfId="14617" xr:uid="{00000000-0005-0000-0000-0000DB380000}"/>
    <cellStyle name="Note 7 11 2 2 4 2" xfId="14618" xr:uid="{00000000-0005-0000-0000-0000DC380000}"/>
    <cellStyle name="Note 7 11 2 2 5" xfId="14619" xr:uid="{00000000-0005-0000-0000-0000DD380000}"/>
    <cellStyle name="Note 7 11 2 2 5 2" xfId="14620" xr:uid="{00000000-0005-0000-0000-0000DE380000}"/>
    <cellStyle name="Note 7 11 2 2 6" xfId="14621" xr:uid="{00000000-0005-0000-0000-0000DF380000}"/>
    <cellStyle name="Note 7 11 2 2 6 2" xfId="14622" xr:uid="{00000000-0005-0000-0000-0000E0380000}"/>
    <cellStyle name="Note 7 11 2 2 7" xfId="14623" xr:uid="{00000000-0005-0000-0000-0000E1380000}"/>
    <cellStyle name="Note 7 11 2 2 8" xfId="14624" xr:uid="{00000000-0005-0000-0000-0000E2380000}"/>
    <cellStyle name="Note 7 11 2 2 9" xfId="14625" xr:uid="{00000000-0005-0000-0000-0000E3380000}"/>
    <cellStyle name="Note 7 11 2 3" xfId="14626" xr:uid="{00000000-0005-0000-0000-0000E4380000}"/>
    <cellStyle name="Note 7 11 2 3 2" xfId="14627" xr:uid="{00000000-0005-0000-0000-0000E5380000}"/>
    <cellStyle name="Note 7 11 2 3 2 2" xfId="14628" xr:uid="{00000000-0005-0000-0000-0000E6380000}"/>
    <cellStyle name="Note 7 11 2 3 2 3" xfId="14629" xr:uid="{00000000-0005-0000-0000-0000E7380000}"/>
    <cellStyle name="Note 7 11 2 3 3" xfId="14630" xr:uid="{00000000-0005-0000-0000-0000E8380000}"/>
    <cellStyle name="Note 7 11 2 3 3 2" xfId="14631" xr:uid="{00000000-0005-0000-0000-0000E9380000}"/>
    <cellStyle name="Note 7 11 2 3 4" xfId="14632" xr:uid="{00000000-0005-0000-0000-0000EA380000}"/>
    <cellStyle name="Note 7 11 2 3 5" xfId="14633" xr:uid="{00000000-0005-0000-0000-0000EB380000}"/>
    <cellStyle name="Note 7 11 2 3 6" xfId="14634" xr:uid="{00000000-0005-0000-0000-0000EC380000}"/>
    <cellStyle name="Note 7 11 2 3 7" xfId="14635" xr:uid="{00000000-0005-0000-0000-0000ED380000}"/>
    <cellStyle name="Note 7 11 2 3 8" xfId="14636" xr:uid="{00000000-0005-0000-0000-0000EE380000}"/>
    <cellStyle name="Note 7 11 2 4" xfId="14637" xr:uid="{00000000-0005-0000-0000-0000EF380000}"/>
    <cellStyle name="Note 7 11 2 4 2" xfId="14638" xr:uid="{00000000-0005-0000-0000-0000F0380000}"/>
    <cellStyle name="Note 7 11 2 4 2 2" xfId="14639" xr:uid="{00000000-0005-0000-0000-0000F1380000}"/>
    <cellStyle name="Note 7 11 2 4 3" xfId="14640" xr:uid="{00000000-0005-0000-0000-0000F2380000}"/>
    <cellStyle name="Note 7 11 2 4 4" xfId="14641" xr:uid="{00000000-0005-0000-0000-0000F3380000}"/>
    <cellStyle name="Note 7 11 2 5" xfId="14642" xr:uid="{00000000-0005-0000-0000-0000F4380000}"/>
    <cellStyle name="Note 7 11 2 5 2" xfId="14643" xr:uid="{00000000-0005-0000-0000-0000F5380000}"/>
    <cellStyle name="Note 7 11 2 6" xfId="14644" xr:uid="{00000000-0005-0000-0000-0000F6380000}"/>
    <cellStyle name="Note 7 11 2 6 2" xfId="14645" xr:uid="{00000000-0005-0000-0000-0000F7380000}"/>
    <cellStyle name="Note 7 11 2 7" xfId="14646" xr:uid="{00000000-0005-0000-0000-0000F8380000}"/>
    <cellStyle name="Note 7 11 2 7 2" xfId="14647" xr:uid="{00000000-0005-0000-0000-0000F9380000}"/>
    <cellStyle name="Note 7 11 2 8" xfId="14648" xr:uid="{00000000-0005-0000-0000-0000FA380000}"/>
    <cellStyle name="Note 7 11 2 9" xfId="14649" xr:uid="{00000000-0005-0000-0000-0000FB380000}"/>
    <cellStyle name="Note 7 11 3" xfId="14650" xr:uid="{00000000-0005-0000-0000-0000FC380000}"/>
    <cellStyle name="Note 7 11 3 10" xfId="14651" xr:uid="{00000000-0005-0000-0000-0000FD380000}"/>
    <cellStyle name="Note 7 11 3 11" xfId="14652" xr:uid="{00000000-0005-0000-0000-0000FE380000}"/>
    <cellStyle name="Note 7 11 3 2" xfId="14653" xr:uid="{00000000-0005-0000-0000-0000FF380000}"/>
    <cellStyle name="Note 7 11 3 2 2" xfId="14654" xr:uid="{00000000-0005-0000-0000-000000390000}"/>
    <cellStyle name="Note 7 11 3 2 2 2" xfId="14655" xr:uid="{00000000-0005-0000-0000-000001390000}"/>
    <cellStyle name="Note 7 11 3 2 2 3" xfId="14656" xr:uid="{00000000-0005-0000-0000-000002390000}"/>
    <cellStyle name="Note 7 11 3 2 3" xfId="14657" xr:uid="{00000000-0005-0000-0000-000003390000}"/>
    <cellStyle name="Note 7 11 3 2 3 2" xfId="14658" xr:uid="{00000000-0005-0000-0000-000004390000}"/>
    <cellStyle name="Note 7 11 3 2 4" xfId="14659" xr:uid="{00000000-0005-0000-0000-000005390000}"/>
    <cellStyle name="Note 7 11 3 2 5" xfId="14660" xr:uid="{00000000-0005-0000-0000-000006390000}"/>
    <cellStyle name="Note 7 11 3 2 6" xfId="14661" xr:uid="{00000000-0005-0000-0000-000007390000}"/>
    <cellStyle name="Note 7 11 3 2 7" xfId="14662" xr:uid="{00000000-0005-0000-0000-000008390000}"/>
    <cellStyle name="Note 7 11 3 2 8" xfId="14663" xr:uid="{00000000-0005-0000-0000-000009390000}"/>
    <cellStyle name="Note 7 11 3 3" xfId="14664" xr:uid="{00000000-0005-0000-0000-00000A390000}"/>
    <cellStyle name="Note 7 11 3 3 2" xfId="14665" xr:uid="{00000000-0005-0000-0000-00000B390000}"/>
    <cellStyle name="Note 7 11 3 3 2 2" xfId="14666" xr:uid="{00000000-0005-0000-0000-00000C390000}"/>
    <cellStyle name="Note 7 11 3 3 3" xfId="14667" xr:uid="{00000000-0005-0000-0000-00000D390000}"/>
    <cellStyle name="Note 7 11 3 3 4" xfId="14668" xr:uid="{00000000-0005-0000-0000-00000E390000}"/>
    <cellStyle name="Note 7 11 3 4" xfId="14669" xr:uid="{00000000-0005-0000-0000-00000F390000}"/>
    <cellStyle name="Note 7 11 3 4 2" xfId="14670" xr:uid="{00000000-0005-0000-0000-000010390000}"/>
    <cellStyle name="Note 7 11 3 5" xfId="14671" xr:uid="{00000000-0005-0000-0000-000011390000}"/>
    <cellStyle name="Note 7 11 3 5 2" xfId="14672" xr:uid="{00000000-0005-0000-0000-000012390000}"/>
    <cellStyle name="Note 7 11 3 6" xfId="14673" xr:uid="{00000000-0005-0000-0000-000013390000}"/>
    <cellStyle name="Note 7 11 3 6 2" xfId="14674" xr:uid="{00000000-0005-0000-0000-000014390000}"/>
    <cellStyle name="Note 7 11 3 7" xfId="14675" xr:uid="{00000000-0005-0000-0000-000015390000}"/>
    <cellStyle name="Note 7 11 3 8" xfId="14676" xr:uid="{00000000-0005-0000-0000-000016390000}"/>
    <cellStyle name="Note 7 11 3 9" xfId="14677" xr:uid="{00000000-0005-0000-0000-000017390000}"/>
    <cellStyle name="Note 7 11 4" xfId="14678" xr:uid="{00000000-0005-0000-0000-000018390000}"/>
    <cellStyle name="Note 7 11 4 2" xfId="14679" xr:uid="{00000000-0005-0000-0000-000019390000}"/>
    <cellStyle name="Note 7 11 4 2 2" xfId="14680" xr:uid="{00000000-0005-0000-0000-00001A390000}"/>
    <cellStyle name="Note 7 11 4 2 3" xfId="14681" xr:uid="{00000000-0005-0000-0000-00001B390000}"/>
    <cellStyle name="Note 7 11 4 3" xfId="14682" xr:uid="{00000000-0005-0000-0000-00001C390000}"/>
    <cellStyle name="Note 7 11 4 3 2" xfId="14683" xr:uid="{00000000-0005-0000-0000-00001D390000}"/>
    <cellStyle name="Note 7 11 4 4" xfId="14684" xr:uid="{00000000-0005-0000-0000-00001E390000}"/>
    <cellStyle name="Note 7 11 4 5" xfId="14685" xr:uid="{00000000-0005-0000-0000-00001F390000}"/>
    <cellStyle name="Note 7 11 4 6" xfId="14686" xr:uid="{00000000-0005-0000-0000-000020390000}"/>
    <cellStyle name="Note 7 11 4 7" xfId="14687" xr:uid="{00000000-0005-0000-0000-000021390000}"/>
    <cellStyle name="Note 7 11 4 8" xfId="14688" xr:uid="{00000000-0005-0000-0000-000022390000}"/>
    <cellStyle name="Note 7 11 5" xfId="14689" xr:uid="{00000000-0005-0000-0000-000023390000}"/>
    <cellStyle name="Note 7 11 5 2" xfId="14690" xr:uid="{00000000-0005-0000-0000-000024390000}"/>
    <cellStyle name="Note 7 11 5 2 2" xfId="14691" xr:uid="{00000000-0005-0000-0000-000025390000}"/>
    <cellStyle name="Note 7 11 5 3" xfId="14692" xr:uid="{00000000-0005-0000-0000-000026390000}"/>
    <cellStyle name="Note 7 11 5 4" xfId="14693" xr:uid="{00000000-0005-0000-0000-000027390000}"/>
    <cellStyle name="Note 7 11 6" xfId="14694" xr:uid="{00000000-0005-0000-0000-000028390000}"/>
    <cellStyle name="Note 7 11 6 2" xfId="14695" xr:uid="{00000000-0005-0000-0000-000029390000}"/>
    <cellStyle name="Note 7 11 7" xfId="14696" xr:uid="{00000000-0005-0000-0000-00002A390000}"/>
    <cellStyle name="Note 7 11 7 2" xfId="14697" xr:uid="{00000000-0005-0000-0000-00002B390000}"/>
    <cellStyle name="Note 7 11 8" xfId="14698" xr:uid="{00000000-0005-0000-0000-00002C390000}"/>
    <cellStyle name="Note 7 11 8 2" xfId="14699" xr:uid="{00000000-0005-0000-0000-00002D390000}"/>
    <cellStyle name="Note 7 11 9" xfId="14700" xr:uid="{00000000-0005-0000-0000-00002E390000}"/>
    <cellStyle name="Note 7 12" xfId="14701" xr:uid="{00000000-0005-0000-0000-00002F390000}"/>
    <cellStyle name="Note 7 12 10" xfId="14702" xr:uid="{00000000-0005-0000-0000-000030390000}"/>
    <cellStyle name="Note 7 12 11" xfId="14703" xr:uid="{00000000-0005-0000-0000-000031390000}"/>
    <cellStyle name="Note 7 12 12" xfId="14704" xr:uid="{00000000-0005-0000-0000-000032390000}"/>
    <cellStyle name="Note 7 12 2" xfId="14705" xr:uid="{00000000-0005-0000-0000-000033390000}"/>
    <cellStyle name="Note 7 12 2 10" xfId="14706" xr:uid="{00000000-0005-0000-0000-000034390000}"/>
    <cellStyle name="Note 7 12 2 11" xfId="14707" xr:uid="{00000000-0005-0000-0000-000035390000}"/>
    <cellStyle name="Note 7 12 2 2" xfId="14708" xr:uid="{00000000-0005-0000-0000-000036390000}"/>
    <cellStyle name="Note 7 12 2 2 2" xfId="14709" xr:uid="{00000000-0005-0000-0000-000037390000}"/>
    <cellStyle name="Note 7 12 2 2 2 2" xfId="14710" xr:uid="{00000000-0005-0000-0000-000038390000}"/>
    <cellStyle name="Note 7 12 2 2 2 3" xfId="14711" xr:uid="{00000000-0005-0000-0000-000039390000}"/>
    <cellStyle name="Note 7 12 2 2 3" xfId="14712" xr:uid="{00000000-0005-0000-0000-00003A390000}"/>
    <cellStyle name="Note 7 12 2 2 3 2" xfId="14713" xr:uid="{00000000-0005-0000-0000-00003B390000}"/>
    <cellStyle name="Note 7 12 2 2 4" xfId="14714" xr:uid="{00000000-0005-0000-0000-00003C390000}"/>
    <cellStyle name="Note 7 12 2 2 5" xfId="14715" xr:uid="{00000000-0005-0000-0000-00003D390000}"/>
    <cellStyle name="Note 7 12 2 2 6" xfId="14716" xr:uid="{00000000-0005-0000-0000-00003E390000}"/>
    <cellStyle name="Note 7 12 2 2 7" xfId="14717" xr:uid="{00000000-0005-0000-0000-00003F390000}"/>
    <cellStyle name="Note 7 12 2 2 8" xfId="14718" xr:uid="{00000000-0005-0000-0000-000040390000}"/>
    <cellStyle name="Note 7 12 2 3" xfId="14719" xr:uid="{00000000-0005-0000-0000-000041390000}"/>
    <cellStyle name="Note 7 12 2 3 2" xfId="14720" xr:uid="{00000000-0005-0000-0000-000042390000}"/>
    <cellStyle name="Note 7 12 2 3 2 2" xfId="14721" xr:uid="{00000000-0005-0000-0000-000043390000}"/>
    <cellStyle name="Note 7 12 2 3 3" xfId="14722" xr:uid="{00000000-0005-0000-0000-000044390000}"/>
    <cellStyle name="Note 7 12 2 3 4" xfId="14723" xr:uid="{00000000-0005-0000-0000-000045390000}"/>
    <cellStyle name="Note 7 12 2 4" xfId="14724" xr:uid="{00000000-0005-0000-0000-000046390000}"/>
    <cellStyle name="Note 7 12 2 4 2" xfId="14725" xr:uid="{00000000-0005-0000-0000-000047390000}"/>
    <cellStyle name="Note 7 12 2 5" xfId="14726" xr:uid="{00000000-0005-0000-0000-000048390000}"/>
    <cellStyle name="Note 7 12 2 5 2" xfId="14727" xr:uid="{00000000-0005-0000-0000-000049390000}"/>
    <cellStyle name="Note 7 12 2 6" xfId="14728" xr:uid="{00000000-0005-0000-0000-00004A390000}"/>
    <cellStyle name="Note 7 12 2 6 2" xfId="14729" xr:uid="{00000000-0005-0000-0000-00004B390000}"/>
    <cellStyle name="Note 7 12 2 7" xfId="14730" xr:uid="{00000000-0005-0000-0000-00004C390000}"/>
    <cellStyle name="Note 7 12 2 8" xfId="14731" xr:uid="{00000000-0005-0000-0000-00004D390000}"/>
    <cellStyle name="Note 7 12 2 9" xfId="14732" xr:uid="{00000000-0005-0000-0000-00004E390000}"/>
    <cellStyle name="Note 7 12 3" xfId="14733" xr:uid="{00000000-0005-0000-0000-00004F390000}"/>
    <cellStyle name="Note 7 12 3 2" xfId="14734" xr:uid="{00000000-0005-0000-0000-000050390000}"/>
    <cellStyle name="Note 7 12 3 2 2" xfId="14735" xr:uid="{00000000-0005-0000-0000-000051390000}"/>
    <cellStyle name="Note 7 12 3 2 3" xfId="14736" xr:uid="{00000000-0005-0000-0000-000052390000}"/>
    <cellStyle name="Note 7 12 3 3" xfId="14737" xr:uid="{00000000-0005-0000-0000-000053390000}"/>
    <cellStyle name="Note 7 12 3 3 2" xfId="14738" xr:uid="{00000000-0005-0000-0000-000054390000}"/>
    <cellStyle name="Note 7 12 3 4" xfId="14739" xr:uid="{00000000-0005-0000-0000-000055390000}"/>
    <cellStyle name="Note 7 12 3 5" xfId="14740" xr:uid="{00000000-0005-0000-0000-000056390000}"/>
    <cellStyle name="Note 7 12 3 6" xfId="14741" xr:uid="{00000000-0005-0000-0000-000057390000}"/>
    <cellStyle name="Note 7 12 3 7" xfId="14742" xr:uid="{00000000-0005-0000-0000-000058390000}"/>
    <cellStyle name="Note 7 12 3 8" xfId="14743" xr:uid="{00000000-0005-0000-0000-000059390000}"/>
    <cellStyle name="Note 7 12 4" xfId="14744" xr:uid="{00000000-0005-0000-0000-00005A390000}"/>
    <cellStyle name="Note 7 12 4 2" xfId="14745" xr:uid="{00000000-0005-0000-0000-00005B390000}"/>
    <cellStyle name="Note 7 12 4 2 2" xfId="14746" xr:uid="{00000000-0005-0000-0000-00005C390000}"/>
    <cellStyle name="Note 7 12 4 3" xfId="14747" xr:uid="{00000000-0005-0000-0000-00005D390000}"/>
    <cellStyle name="Note 7 12 4 4" xfId="14748" xr:uid="{00000000-0005-0000-0000-00005E390000}"/>
    <cellStyle name="Note 7 12 5" xfId="14749" xr:uid="{00000000-0005-0000-0000-00005F390000}"/>
    <cellStyle name="Note 7 12 5 2" xfId="14750" xr:uid="{00000000-0005-0000-0000-000060390000}"/>
    <cellStyle name="Note 7 12 6" xfId="14751" xr:uid="{00000000-0005-0000-0000-000061390000}"/>
    <cellStyle name="Note 7 12 6 2" xfId="14752" xr:uid="{00000000-0005-0000-0000-000062390000}"/>
    <cellStyle name="Note 7 12 7" xfId="14753" xr:uid="{00000000-0005-0000-0000-000063390000}"/>
    <cellStyle name="Note 7 12 7 2" xfId="14754" xr:uid="{00000000-0005-0000-0000-000064390000}"/>
    <cellStyle name="Note 7 12 8" xfId="14755" xr:uid="{00000000-0005-0000-0000-000065390000}"/>
    <cellStyle name="Note 7 12 9" xfId="14756" xr:uid="{00000000-0005-0000-0000-000066390000}"/>
    <cellStyle name="Note 7 13" xfId="14757" xr:uid="{00000000-0005-0000-0000-000067390000}"/>
    <cellStyle name="Note 7 13 10" xfId="14758" xr:uid="{00000000-0005-0000-0000-000068390000}"/>
    <cellStyle name="Note 7 13 11" xfId="14759" xr:uid="{00000000-0005-0000-0000-000069390000}"/>
    <cellStyle name="Note 7 13 2" xfId="14760" xr:uid="{00000000-0005-0000-0000-00006A390000}"/>
    <cellStyle name="Note 7 13 2 2" xfId="14761" xr:uid="{00000000-0005-0000-0000-00006B390000}"/>
    <cellStyle name="Note 7 13 2 2 2" xfId="14762" xr:uid="{00000000-0005-0000-0000-00006C390000}"/>
    <cellStyle name="Note 7 13 2 2 3" xfId="14763" xr:uid="{00000000-0005-0000-0000-00006D390000}"/>
    <cellStyle name="Note 7 13 2 3" xfId="14764" xr:uid="{00000000-0005-0000-0000-00006E390000}"/>
    <cellStyle name="Note 7 13 2 3 2" xfId="14765" xr:uid="{00000000-0005-0000-0000-00006F390000}"/>
    <cellStyle name="Note 7 13 2 4" xfId="14766" xr:uid="{00000000-0005-0000-0000-000070390000}"/>
    <cellStyle name="Note 7 13 2 5" xfId="14767" xr:uid="{00000000-0005-0000-0000-000071390000}"/>
    <cellStyle name="Note 7 13 2 6" xfId="14768" xr:uid="{00000000-0005-0000-0000-000072390000}"/>
    <cellStyle name="Note 7 13 2 7" xfId="14769" xr:uid="{00000000-0005-0000-0000-000073390000}"/>
    <cellStyle name="Note 7 13 2 8" xfId="14770" xr:uid="{00000000-0005-0000-0000-000074390000}"/>
    <cellStyle name="Note 7 13 3" xfId="14771" xr:uid="{00000000-0005-0000-0000-000075390000}"/>
    <cellStyle name="Note 7 13 3 2" xfId="14772" xr:uid="{00000000-0005-0000-0000-000076390000}"/>
    <cellStyle name="Note 7 13 3 2 2" xfId="14773" xr:uid="{00000000-0005-0000-0000-000077390000}"/>
    <cellStyle name="Note 7 13 3 3" xfId="14774" xr:uid="{00000000-0005-0000-0000-000078390000}"/>
    <cellStyle name="Note 7 13 3 4" xfId="14775" xr:uid="{00000000-0005-0000-0000-000079390000}"/>
    <cellStyle name="Note 7 13 4" xfId="14776" xr:uid="{00000000-0005-0000-0000-00007A390000}"/>
    <cellStyle name="Note 7 13 4 2" xfId="14777" xr:uid="{00000000-0005-0000-0000-00007B390000}"/>
    <cellStyle name="Note 7 13 5" xfId="14778" xr:uid="{00000000-0005-0000-0000-00007C390000}"/>
    <cellStyle name="Note 7 13 5 2" xfId="14779" xr:uid="{00000000-0005-0000-0000-00007D390000}"/>
    <cellStyle name="Note 7 13 6" xfId="14780" xr:uid="{00000000-0005-0000-0000-00007E390000}"/>
    <cellStyle name="Note 7 13 6 2" xfId="14781" xr:uid="{00000000-0005-0000-0000-00007F390000}"/>
    <cellStyle name="Note 7 13 7" xfId="14782" xr:uid="{00000000-0005-0000-0000-000080390000}"/>
    <cellStyle name="Note 7 13 8" xfId="14783" xr:uid="{00000000-0005-0000-0000-000081390000}"/>
    <cellStyle name="Note 7 13 9" xfId="14784" xr:uid="{00000000-0005-0000-0000-000082390000}"/>
    <cellStyle name="Note 7 14" xfId="14785" xr:uid="{00000000-0005-0000-0000-000083390000}"/>
    <cellStyle name="Note 7 14 2" xfId="14786" xr:uid="{00000000-0005-0000-0000-000084390000}"/>
    <cellStyle name="Note 7 14 2 2" xfId="14787" xr:uid="{00000000-0005-0000-0000-000085390000}"/>
    <cellStyle name="Note 7 14 2 3" xfId="14788" xr:uid="{00000000-0005-0000-0000-000086390000}"/>
    <cellStyle name="Note 7 14 3" xfId="14789" xr:uid="{00000000-0005-0000-0000-000087390000}"/>
    <cellStyle name="Note 7 14 3 2" xfId="14790" xr:uid="{00000000-0005-0000-0000-000088390000}"/>
    <cellStyle name="Note 7 14 4" xfId="14791" xr:uid="{00000000-0005-0000-0000-000089390000}"/>
    <cellStyle name="Note 7 14 5" xfId="14792" xr:uid="{00000000-0005-0000-0000-00008A390000}"/>
    <cellStyle name="Note 7 14 6" xfId="14793" xr:uid="{00000000-0005-0000-0000-00008B390000}"/>
    <cellStyle name="Note 7 14 7" xfId="14794" xr:uid="{00000000-0005-0000-0000-00008C390000}"/>
    <cellStyle name="Note 7 14 8" xfId="14795" xr:uid="{00000000-0005-0000-0000-00008D390000}"/>
    <cellStyle name="Note 7 15" xfId="14796" xr:uid="{00000000-0005-0000-0000-00008E390000}"/>
    <cellStyle name="Note 7 15 2" xfId="14797" xr:uid="{00000000-0005-0000-0000-00008F390000}"/>
    <cellStyle name="Note 7 15 2 2" xfId="14798" xr:uid="{00000000-0005-0000-0000-000090390000}"/>
    <cellStyle name="Note 7 15 3" xfId="14799" xr:uid="{00000000-0005-0000-0000-000091390000}"/>
    <cellStyle name="Note 7 15 4" xfId="14800" xr:uid="{00000000-0005-0000-0000-000092390000}"/>
    <cellStyle name="Note 7 16" xfId="14801" xr:uid="{00000000-0005-0000-0000-000093390000}"/>
    <cellStyle name="Note 7 16 2" xfId="14802" xr:uid="{00000000-0005-0000-0000-000094390000}"/>
    <cellStyle name="Note 7 17" xfId="14803" xr:uid="{00000000-0005-0000-0000-000095390000}"/>
    <cellStyle name="Note 7 17 2" xfId="14804" xr:uid="{00000000-0005-0000-0000-000096390000}"/>
    <cellStyle name="Note 7 18" xfId="14805" xr:uid="{00000000-0005-0000-0000-000097390000}"/>
    <cellStyle name="Note 7 18 2" xfId="14806" xr:uid="{00000000-0005-0000-0000-000098390000}"/>
    <cellStyle name="Note 7 19" xfId="14807" xr:uid="{00000000-0005-0000-0000-000099390000}"/>
    <cellStyle name="Note 7 2" xfId="14808" xr:uid="{00000000-0005-0000-0000-00009A390000}"/>
    <cellStyle name="Note 7 2 2" xfId="14809" xr:uid="{00000000-0005-0000-0000-00009B390000}"/>
    <cellStyle name="Note 7 20" xfId="14810" xr:uid="{00000000-0005-0000-0000-00009C390000}"/>
    <cellStyle name="Note 7 21" xfId="14811" xr:uid="{00000000-0005-0000-0000-00009D390000}"/>
    <cellStyle name="Note 7 22" xfId="14812" xr:uid="{00000000-0005-0000-0000-00009E390000}"/>
    <cellStyle name="Note 7 23" xfId="14813" xr:uid="{00000000-0005-0000-0000-00009F390000}"/>
    <cellStyle name="Note 7 24" xfId="14814" xr:uid="{00000000-0005-0000-0000-0000A0390000}"/>
    <cellStyle name="Note 7 3" xfId="14815" xr:uid="{00000000-0005-0000-0000-0000A1390000}"/>
    <cellStyle name="Note 7 3 2" xfId="14816" xr:uid="{00000000-0005-0000-0000-0000A2390000}"/>
    <cellStyle name="Note 7 4" xfId="14817" xr:uid="{00000000-0005-0000-0000-0000A3390000}"/>
    <cellStyle name="Note 7 4 2" xfId="14818" xr:uid="{00000000-0005-0000-0000-0000A4390000}"/>
    <cellStyle name="Note 7 5" xfId="14819" xr:uid="{00000000-0005-0000-0000-0000A5390000}"/>
    <cellStyle name="Note 7 6" xfId="14820" xr:uid="{00000000-0005-0000-0000-0000A6390000}"/>
    <cellStyle name="Note 7 7" xfId="14821" xr:uid="{00000000-0005-0000-0000-0000A7390000}"/>
    <cellStyle name="Note 7 8" xfId="14822" xr:uid="{00000000-0005-0000-0000-0000A8390000}"/>
    <cellStyle name="Note 7 8 10" xfId="14823" xr:uid="{00000000-0005-0000-0000-0000A9390000}"/>
    <cellStyle name="Note 7 8 11" xfId="14824" xr:uid="{00000000-0005-0000-0000-0000AA390000}"/>
    <cellStyle name="Note 7 8 12" xfId="14825" xr:uid="{00000000-0005-0000-0000-0000AB390000}"/>
    <cellStyle name="Note 7 8 13" xfId="14826" xr:uid="{00000000-0005-0000-0000-0000AC390000}"/>
    <cellStyle name="Note 7 8 14" xfId="14827" xr:uid="{00000000-0005-0000-0000-0000AD390000}"/>
    <cellStyle name="Note 7 8 2" xfId="14828" xr:uid="{00000000-0005-0000-0000-0000AE390000}"/>
    <cellStyle name="Note 7 8 2 10" xfId="14829" xr:uid="{00000000-0005-0000-0000-0000AF390000}"/>
    <cellStyle name="Note 7 8 2 11" xfId="14830" xr:uid="{00000000-0005-0000-0000-0000B0390000}"/>
    <cellStyle name="Note 7 8 2 12" xfId="14831" xr:uid="{00000000-0005-0000-0000-0000B1390000}"/>
    <cellStyle name="Note 7 8 2 13" xfId="14832" xr:uid="{00000000-0005-0000-0000-0000B2390000}"/>
    <cellStyle name="Note 7 8 2 2" xfId="14833" xr:uid="{00000000-0005-0000-0000-0000B3390000}"/>
    <cellStyle name="Note 7 8 2 2 10" xfId="14834" xr:uid="{00000000-0005-0000-0000-0000B4390000}"/>
    <cellStyle name="Note 7 8 2 2 11" xfId="14835" xr:uid="{00000000-0005-0000-0000-0000B5390000}"/>
    <cellStyle name="Note 7 8 2 2 12" xfId="14836" xr:uid="{00000000-0005-0000-0000-0000B6390000}"/>
    <cellStyle name="Note 7 8 2 2 2" xfId="14837" xr:uid="{00000000-0005-0000-0000-0000B7390000}"/>
    <cellStyle name="Note 7 8 2 2 2 10" xfId="14838" xr:uid="{00000000-0005-0000-0000-0000B8390000}"/>
    <cellStyle name="Note 7 8 2 2 2 11" xfId="14839" xr:uid="{00000000-0005-0000-0000-0000B9390000}"/>
    <cellStyle name="Note 7 8 2 2 2 2" xfId="14840" xr:uid="{00000000-0005-0000-0000-0000BA390000}"/>
    <cellStyle name="Note 7 8 2 2 2 2 2" xfId="14841" xr:uid="{00000000-0005-0000-0000-0000BB390000}"/>
    <cellStyle name="Note 7 8 2 2 2 2 2 2" xfId="14842" xr:uid="{00000000-0005-0000-0000-0000BC390000}"/>
    <cellStyle name="Note 7 8 2 2 2 2 2 3" xfId="14843" xr:uid="{00000000-0005-0000-0000-0000BD390000}"/>
    <cellStyle name="Note 7 8 2 2 2 2 3" xfId="14844" xr:uid="{00000000-0005-0000-0000-0000BE390000}"/>
    <cellStyle name="Note 7 8 2 2 2 2 3 2" xfId="14845" xr:uid="{00000000-0005-0000-0000-0000BF390000}"/>
    <cellStyle name="Note 7 8 2 2 2 2 4" xfId="14846" xr:uid="{00000000-0005-0000-0000-0000C0390000}"/>
    <cellStyle name="Note 7 8 2 2 2 2 5" xfId="14847" xr:uid="{00000000-0005-0000-0000-0000C1390000}"/>
    <cellStyle name="Note 7 8 2 2 2 2 6" xfId="14848" xr:uid="{00000000-0005-0000-0000-0000C2390000}"/>
    <cellStyle name="Note 7 8 2 2 2 2 7" xfId="14849" xr:uid="{00000000-0005-0000-0000-0000C3390000}"/>
    <cellStyle name="Note 7 8 2 2 2 2 8" xfId="14850" xr:uid="{00000000-0005-0000-0000-0000C4390000}"/>
    <cellStyle name="Note 7 8 2 2 2 3" xfId="14851" xr:uid="{00000000-0005-0000-0000-0000C5390000}"/>
    <cellStyle name="Note 7 8 2 2 2 3 2" xfId="14852" xr:uid="{00000000-0005-0000-0000-0000C6390000}"/>
    <cellStyle name="Note 7 8 2 2 2 3 2 2" xfId="14853" xr:uid="{00000000-0005-0000-0000-0000C7390000}"/>
    <cellStyle name="Note 7 8 2 2 2 3 3" xfId="14854" xr:uid="{00000000-0005-0000-0000-0000C8390000}"/>
    <cellStyle name="Note 7 8 2 2 2 3 4" xfId="14855" xr:uid="{00000000-0005-0000-0000-0000C9390000}"/>
    <cellStyle name="Note 7 8 2 2 2 4" xfId="14856" xr:uid="{00000000-0005-0000-0000-0000CA390000}"/>
    <cellStyle name="Note 7 8 2 2 2 4 2" xfId="14857" xr:uid="{00000000-0005-0000-0000-0000CB390000}"/>
    <cellStyle name="Note 7 8 2 2 2 5" xfId="14858" xr:uid="{00000000-0005-0000-0000-0000CC390000}"/>
    <cellStyle name="Note 7 8 2 2 2 5 2" xfId="14859" xr:uid="{00000000-0005-0000-0000-0000CD390000}"/>
    <cellStyle name="Note 7 8 2 2 2 6" xfId="14860" xr:uid="{00000000-0005-0000-0000-0000CE390000}"/>
    <cellStyle name="Note 7 8 2 2 2 6 2" xfId="14861" xr:uid="{00000000-0005-0000-0000-0000CF390000}"/>
    <cellStyle name="Note 7 8 2 2 2 7" xfId="14862" xr:uid="{00000000-0005-0000-0000-0000D0390000}"/>
    <cellStyle name="Note 7 8 2 2 2 8" xfId="14863" xr:uid="{00000000-0005-0000-0000-0000D1390000}"/>
    <cellStyle name="Note 7 8 2 2 2 9" xfId="14864" xr:uid="{00000000-0005-0000-0000-0000D2390000}"/>
    <cellStyle name="Note 7 8 2 2 3" xfId="14865" xr:uid="{00000000-0005-0000-0000-0000D3390000}"/>
    <cellStyle name="Note 7 8 2 2 3 2" xfId="14866" xr:uid="{00000000-0005-0000-0000-0000D4390000}"/>
    <cellStyle name="Note 7 8 2 2 3 2 2" xfId="14867" xr:uid="{00000000-0005-0000-0000-0000D5390000}"/>
    <cellStyle name="Note 7 8 2 2 3 2 3" xfId="14868" xr:uid="{00000000-0005-0000-0000-0000D6390000}"/>
    <cellStyle name="Note 7 8 2 2 3 3" xfId="14869" xr:uid="{00000000-0005-0000-0000-0000D7390000}"/>
    <cellStyle name="Note 7 8 2 2 3 3 2" xfId="14870" xr:uid="{00000000-0005-0000-0000-0000D8390000}"/>
    <cellStyle name="Note 7 8 2 2 3 4" xfId="14871" xr:uid="{00000000-0005-0000-0000-0000D9390000}"/>
    <cellStyle name="Note 7 8 2 2 3 5" xfId="14872" xr:uid="{00000000-0005-0000-0000-0000DA390000}"/>
    <cellStyle name="Note 7 8 2 2 3 6" xfId="14873" xr:uid="{00000000-0005-0000-0000-0000DB390000}"/>
    <cellStyle name="Note 7 8 2 2 3 7" xfId="14874" xr:uid="{00000000-0005-0000-0000-0000DC390000}"/>
    <cellStyle name="Note 7 8 2 2 3 8" xfId="14875" xr:uid="{00000000-0005-0000-0000-0000DD390000}"/>
    <cellStyle name="Note 7 8 2 2 4" xfId="14876" xr:uid="{00000000-0005-0000-0000-0000DE390000}"/>
    <cellStyle name="Note 7 8 2 2 4 2" xfId="14877" xr:uid="{00000000-0005-0000-0000-0000DF390000}"/>
    <cellStyle name="Note 7 8 2 2 4 2 2" xfId="14878" xr:uid="{00000000-0005-0000-0000-0000E0390000}"/>
    <cellStyle name="Note 7 8 2 2 4 3" xfId="14879" xr:uid="{00000000-0005-0000-0000-0000E1390000}"/>
    <cellStyle name="Note 7 8 2 2 4 4" xfId="14880" xr:uid="{00000000-0005-0000-0000-0000E2390000}"/>
    <cellStyle name="Note 7 8 2 2 5" xfId="14881" xr:uid="{00000000-0005-0000-0000-0000E3390000}"/>
    <cellStyle name="Note 7 8 2 2 5 2" xfId="14882" xr:uid="{00000000-0005-0000-0000-0000E4390000}"/>
    <cellStyle name="Note 7 8 2 2 6" xfId="14883" xr:uid="{00000000-0005-0000-0000-0000E5390000}"/>
    <cellStyle name="Note 7 8 2 2 6 2" xfId="14884" xr:uid="{00000000-0005-0000-0000-0000E6390000}"/>
    <cellStyle name="Note 7 8 2 2 7" xfId="14885" xr:uid="{00000000-0005-0000-0000-0000E7390000}"/>
    <cellStyle name="Note 7 8 2 2 7 2" xfId="14886" xr:uid="{00000000-0005-0000-0000-0000E8390000}"/>
    <cellStyle name="Note 7 8 2 2 8" xfId="14887" xr:uid="{00000000-0005-0000-0000-0000E9390000}"/>
    <cellStyle name="Note 7 8 2 2 9" xfId="14888" xr:uid="{00000000-0005-0000-0000-0000EA390000}"/>
    <cellStyle name="Note 7 8 2 3" xfId="14889" xr:uid="{00000000-0005-0000-0000-0000EB390000}"/>
    <cellStyle name="Note 7 8 2 3 10" xfId="14890" xr:uid="{00000000-0005-0000-0000-0000EC390000}"/>
    <cellStyle name="Note 7 8 2 3 11" xfId="14891" xr:uid="{00000000-0005-0000-0000-0000ED390000}"/>
    <cellStyle name="Note 7 8 2 3 2" xfId="14892" xr:uid="{00000000-0005-0000-0000-0000EE390000}"/>
    <cellStyle name="Note 7 8 2 3 2 2" xfId="14893" xr:uid="{00000000-0005-0000-0000-0000EF390000}"/>
    <cellStyle name="Note 7 8 2 3 2 2 2" xfId="14894" xr:uid="{00000000-0005-0000-0000-0000F0390000}"/>
    <cellStyle name="Note 7 8 2 3 2 2 3" xfId="14895" xr:uid="{00000000-0005-0000-0000-0000F1390000}"/>
    <cellStyle name="Note 7 8 2 3 2 3" xfId="14896" xr:uid="{00000000-0005-0000-0000-0000F2390000}"/>
    <cellStyle name="Note 7 8 2 3 2 3 2" xfId="14897" xr:uid="{00000000-0005-0000-0000-0000F3390000}"/>
    <cellStyle name="Note 7 8 2 3 2 4" xfId="14898" xr:uid="{00000000-0005-0000-0000-0000F4390000}"/>
    <cellStyle name="Note 7 8 2 3 2 5" xfId="14899" xr:uid="{00000000-0005-0000-0000-0000F5390000}"/>
    <cellStyle name="Note 7 8 2 3 2 6" xfId="14900" xr:uid="{00000000-0005-0000-0000-0000F6390000}"/>
    <cellStyle name="Note 7 8 2 3 2 7" xfId="14901" xr:uid="{00000000-0005-0000-0000-0000F7390000}"/>
    <cellStyle name="Note 7 8 2 3 2 8" xfId="14902" xr:uid="{00000000-0005-0000-0000-0000F8390000}"/>
    <cellStyle name="Note 7 8 2 3 3" xfId="14903" xr:uid="{00000000-0005-0000-0000-0000F9390000}"/>
    <cellStyle name="Note 7 8 2 3 3 2" xfId="14904" xr:uid="{00000000-0005-0000-0000-0000FA390000}"/>
    <cellStyle name="Note 7 8 2 3 3 2 2" xfId="14905" xr:uid="{00000000-0005-0000-0000-0000FB390000}"/>
    <cellStyle name="Note 7 8 2 3 3 3" xfId="14906" xr:uid="{00000000-0005-0000-0000-0000FC390000}"/>
    <cellStyle name="Note 7 8 2 3 3 4" xfId="14907" xr:uid="{00000000-0005-0000-0000-0000FD390000}"/>
    <cellStyle name="Note 7 8 2 3 4" xfId="14908" xr:uid="{00000000-0005-0000-0000-0000FE390000}"/>
    <cellStyle name="Note 7 8 2 3 4 2" xfId="14909" xr:uid="{00000000-0005-0000-0000-0000FF390000}"/>
    <cellStyle name="Note 7 8 2 3 5" xfId="14910" xr:uid="{00000000-0005-0000-0000-0000003A0000}"/>
    <cellStyle name="Note 7 8 2 3 5 2" xfId="14911" xr:uid="{00000000-0005-0000-0000-0000013A0000}"/>
    <cellStyle name="Note 7 8 2 3 6" xfId="14912" xr:uid="{00000000-0005-0000-0000-0000023A0000}"/>
    <cellStyle name="Note 7 8 2 3 6 2" xfId="14913" xr:uid="{00000000-0005-0000-0000-0000033A0000}"/>
    <cellStyle name="Note 7 8 2 3 7" xfId="14914" xr:uid="{00000000-0005-0000-0000-0000043A0000}"/>
    <cellStyle name="Note 7 8 2 3 8" xfId="14915" xr:uid="{00000000-0005-0000-0000-0000053A0000}"/>
    <cellStyle name="Note 7 8 2 3 9" xfId="14916" xr:uid="{00000000-0005-0000-0000-0000063A0000}"/>
    <cellStyle name="Note 7 8 2 4" xfId="14917" xr:uid="{00000000-0005-0000-0000-0000073A0000}"/>
    <cellStyle name="Note 7 8 2 4 2" xfId="14918" xr:uid="{00000000-0005-0000-0000-0000083A0000}"/>
    <cellStyle name="Note 7 8 2 4 2 2" xfId="14919" xr:uid="{00000000-0005-0000-0000-0000093A0000}"/>
    <cellStyle name="Note 7 8 2 4 2 3" xfId="14920" xr:uid="{00000000-0005-0000-0000-00000A3A0000}"/>
    <cellStyle name="Note 7 8 2 4 3" xfId="14921" xr:uid="{00000000-0005-0000-0000-00000B3A0000}"/>
    <cellStyle name="Note 7 8 2 4 3 2" xfId="14922" xr:uid="{00000000-0005-0000-0000-00000C3A0000}"/>
    <cellStyle name="Note 7 8 2 4 4" xfId="14923" xr:uid="{00000000-0005-0000-0000-00000D3A0000}"/>
    <cellStyle name="Note 7 8 2 4 5" xfId="14924" xr:uid="{00000000-0005-0000-0000-00000E3A0000}"/>
    <cellStyle name="Note 7 8 2 4 6" xfId="14925" xr:uid="{00000000-0005-0000-0000-00000F3A0000}"/>
    <cellStyle name="Note 7 8 2 4 7" xfId="14926" xr:uid="{00000000-0005-0000-0000-0000103A0000}"/>
    <cellStyle name="Note 7 8 2 4 8" xfId="14927" xr:uid="{00000000-0005-0000-0000-0000113A0000}"/>
    <cellStyle name="Note 7 8 2 5" xfId="14928" xr:uid="{00000000-0005-0000-0000-0000123A0000}"/>
    <cellStyle name="Note 7 8 2 5 2" xfId="14929" xr:uid="{00000000-0005-0000-0000-0000133A0000}"/>
    <cellStyle name="Note 7 8 2 5 2 2" xfId="14930" xr:uid="{00000000-0005-0000-0000-0000143A0000}"/>
    <cellStyle name="Note 7 8 2 5 3" xfId="14931" xr:uid="{00000000-0005-0000-0000-0000153A0000}"/>
    <cellStyle name="Note 7 8 2 5 4" xfId="14932" xr:uid="{00000000-0005-0000-0000-0000163A0000}"/>
    <cellStyle name="Note 7 8 2 6" xfId="14933" xr:uid="{00000000-0005-0000-0000-0000173A0000}"/>
    <cellStyle name="Note 7 8 2 6 2" xfId="14934" xr:uid="{00000000-0005-0000-0000-0000183A0000}"/>
    <cellStyle name="Note 7 8 2 7" xfId="14935" xr:uid="{00000000-0005-0000-0000-0000193A0000}"/>
    <cellStyle name="Note 7 8 2 7 2" xfId="14936" xr:uid="{00000000-0005-0000-0000-00001A3A0000}"/>
    <cellStyle name="Note 7 8 2 8" xfId="14937" xr:uid="{00000000-0005-0000-0000-00001B3A0000}"/>
    <cellStyle name="Note 7 8 2 8 2" xfId="14938" xr:uid="{00000000-0005-0000-0000-00001C3A0000}"/>
    <cellStyle name="Note 7 8 2 9" xfId="14939" xr:uid="{00000000-0005-0000-0000-00001D3A0000}"/>
    <cellStyle name="Note 7 8 3" xfId="14940" xr:uid="{00000000-0005-0000-0000-00001E3A0000}"/>
    <cellStyle name="Note 7 8 3 10" xfId="14941" xr:uid="{00000000-0005-0000-0000-00001F3A0000}"/>
    <cellStyle name="Note 7 8 3 11" xfId="14942" xr:uid="{00000000-0005-0000-0000-0000203A0000}"/>
    <cellStyle name="Note 7 8 3 12" xfId="14943" xr:uid="{00000000-0005-0000-0000-0000213A0000}"/>
    <cellStyle name="Note 7 8 3 2" xfId="14944" xr:uid="{00000000-0005-0000-0000-0000223A0000}"/>
    <cellStyle name="Note 7 8 3 2 10" xfId="14945" xr:uid="{00000000-0005-0000-0000-0000233A0000}"/>
    <cellStyle name="Note 7 8 3 2 11" xfId="14946" xr:uid="{00000000-0005-0000-0000-0000243A0000}"/>
    <cellStyle name="Note 7 8 3 2 2" xfId="14947" xr:uid="{00000000-0005-0000-0000-0000253A0000}"/>
    <cellStyle name="Note 7 8 3 2 2 2" xfId="14948" xr:uid="{00000000-0005-0000-0000-0000263A0000}"/>
    <cellStyle name="Note 7 8 3 2 2 2 2" xfId="14949" xr:uid="{00000000-0005-0000-0000-0000273A0000}"/>
    <cellStyle name="Note 7 8 3 2 2 2 3" xfId="14950" xr:uid="{00000000-0005-0000-0000-0000283A0000}"/>
    <cellStyle name="Note 7 8 3 2 2 3" xfId="14951" xr:uid="{00000000-0005-0000-0000-0000293A0000}"/>
    <cellStyle name="Note 7 8 3 2 2 3 2" xfId="14952" xr:uid="{00000000-0005-0000-0000-00002A3A0000}"/>
    <cellStyle name="Note 7 8 3 2 2 4" xfId="14953" xr:uid="{00000000-0005-0000-0000-00002B3A0000}"/>
    <cellStyle name="Note 7 8 3 2 2 5" xfId="14954" xr:uid="{00000000-0005-0000-0000-00002C3A0000}"/>
    <cellStyle name="Note 7 8 3 2 2 6" xfId="14955" xr:uid="{00000000-0005-0000-0000-00002D3A0000}"/>
    <cellStyle name="Note 7 8 3 2 2 7" xfId="14956" xr:uid="{00000000-0005-0000-0000-00002E3A0000}"/>
    <cellStyle name="Note 7 8 3 2 2 8" xfId="14957" xr:uid="{00000000-0005-0000-0000-00002F3A0000}"/>
    <cellStyle name="Note 7 8 3 2 3" xfId="14958" xr:uid="{00000000-0005-0000-0000-0000303A0000}"/>
    <cellStyle name="Note 7 8 3 2 3 2" xfId="14959" xr:uid="{00000000-0005-0000-0000-0000313A0000}"/>
    <cellStyle name="Note 7 8 3 2 3 2 2" xfId="14960" xr:uid="{00000000-0005-0000-0000-0000323A0000}"/>
    <cellStyle name="Note 7 8 3 2 3 3" xfId="14961" xr:uid="{00000000-0005-0000-0000-0000333A0000}"/>
    <cellStyle name="Note 7 8 3 2 3 4" xfId="14962" xr:uid="{00000000-0005-0000-0000-0000343A0000}"/>
    <cellStyle name="Note 7 8 3 2 4" xfId="14963" xr:uid="{00000000-0005-0000-0000-0000353A0000}"/>
    <cellStyle name="Note 7 8 3 2 4 2" xfId="14964" xr:uid="{00000000-0005-0000-0000-0000363A0000}"/>
    <cellStyle name="Note 7 8 3 2 5" xfId="14965" xr:uid="{00000000-0005-0000-0000-0000373A0000}"/>
    <cellStyle name="Note 7 8 3 2 5 2" xfId="14966" xr:uid="{00000000-0005-0000-0000-0000383A0000}"/>
    <cellStyle name="Note 7 8 3 2 6" xfId="14967" xr:uid="{00000000-0005-0000-0000-0000393A0000}"/>
    <cellStyle name="Note 7 8 3 2 6 2" xfId="14968" xr:uid="{00000000-0005-0000-0000-00003A3A0000}"/>
    <cellStyle name="Note 7 8 3 2 7" xfId="14969" xr:uid="{00000000-0005-0000-0000-00003B3A0000}"/>
    <cellStyle name="Note 7 8 3 2 8" xfId="14970" xr:uid="{00000000-0005-0000-0000-00003C3A0000}"/>
    <cellStyle name="Note 7 8 3 2 9" xfId="14971" xr:uid="{00000000-0005-0000-0000-00003D3A0000}"/>
    <cellStyle name="Note 7 8 3 3" xfId="14972" xr:uid="{00000000-0005-0000-0000-00003E3A0000}"/>
    <cellStyle name="Note 7 8 3 3 2" xfId="14973" xr:uid="{00000000-0005-0000-0000-00003F3A0000}"/>
    <cellStyle name="Note 7 8 3 3 2 2" xfId="14974" xr:uid="{00000000-0005-0000-0000-0000403A0000}"/>
    <cellStyle name="Note 7 8 3 3 2 3" xfId="14975" xr:uid="{00000000-0005-0000-0000-0000413A0000}"/>
    <cellStyle name="Note 7 8 3 3 3" xfId="14976" xr:uid="{00000000-0005-0000-0000-0000423A0000}"/>
    <cellStyle name="Note 7 8 3 3 3 2" xfId="14977" xr:uid="{00000000-0005-0000-0000-0000433A0000}"/>
    <cellStyle name="Note 7 8 3 3 4" xfId="14978" xr:uid="{00000000-0005-0000-0000-0000443A0000}"/>
    <cellStyle name="Note 7 8 3 3 5" xfId="14979" xr:uid="{00000000-0005-0000-0000-0000453A0000}"/>
    <cellStyle name="Note 7 8 3 3 6" xfId="14980" xr:uid="{00000000-0005-0000-0000-0000463A0000}"/>
    <cellStyle name="Note 7 8 3 3 7" xfId="14981" xr:uid="{00000000-0005-0000-0000-0000473A0000}"/>
    <cellStyle name="Note 7 8 3 3 8" xfId="14982" xr:uid="{00000000-0005-0000-0000-0000483A0000}"/>
    <cellStyle name="Note 7 8 3 4" xfId="14983" xr:uid="{00000000-0005-0000-0000-0000493A0000}"/>
    <cellStyle name="Note 7 8 3 4 2" xfId="14984" xr:uid="{00000000-0005-0000-0000-00004A3A0000}"/>
    <cellStyle name="Note 7 8 3 4 2 2" xfId="14985" xr:uid="{00000000-0005-0000-0000-00004B3A0000}"/>
    <cellStyle name="Note 7 8 3 4 3" xfId="14986" xr:uid="{00000000-0005-0000-0000-00004C3A0000}"/>
    <cellStyle name="Note 7 8 3 4 4" xfId="14987" xr:uid="{00000000-0005-0000-0000-00004D3A0000}"/>
    <cellStyle name="Note 7 8 3 5" xfId="14988" xr:uid="{00000000-0005-0000-0000-00004E3A0000}"/>
    <cellStyle name="Note 7 8 3 5 2" xfId="14989" xr:uid="{00000000-0005-0000-0000-00004F3A0000}"/>
    <cellStyle name="Note 7 8 3 6" xfId="14990" xr:uid="{00000000-0005-0000-0000-0000503A0000}"/>
    <cellStyle name="Note 7 8 3 6 2" xfId="14991" xr:uid="{00000000-0005-0000-0000-0000513A0000}"/>
    <cellStyle name="Note 7 8 3 7" xfId="14992" xr:uid="{00000000-0005-0000-0000-0000523A0000}"/>
    <cellStyle name="Note 7 8 3 7 2" xfId="14993" xr:uid="{00000000-0005-0000-0000-0000533A0000}"/>
    <cellStyle name="Note 7 8 3 8" xfId="14994" xr:uid="{00000000-0005-0000-0000-0000543A0000}"/>
    <cellStyle name="Note 7 8 3 9" xfId="14995" xr:uid="{00000000-0005-0000-0000-0000553A0000}"/>
    <cellStyle name="Note 7 8 4" xfId="14996" xr:uid="{00000000-0005-0000-0000-0000563A0000}"/>
    <cellStyle name="Note 7 8 4 10" xfId="14997" xr:uid="{00000000-0005-0000-0000-0000573A0000}"/>
    <cellStyle name="Note 7 8 4 11" xfId="14998" xr:uid="{00000000-0005-0000-0000-0000583A0000}"/>
    <cellStyle name="Note 7 8 4 2" xfId="14999" xr:uid="{00000000-0005-0000-0000-0000593A0000}"/>
    <cellStyle name="Note 7 8 4 2 2" xfId="15000" xr:uid="{00000000-0005-0000-0000-00005A3A0000}"/>
    <cellStyle name="Note 7 8 4 2 2 2" xfId="15001" xr:uid="{00000000-0005-0000-0000-00005B3A0000}"/>
    <cellStyle name="Note 7 8 4 2 2 3" xfId="15002" xr:uid="{00000000-0005-0000-0000-00005C3A0000}"/>
    <cellStyle name="Note 7 8 4 2 3" xfId="15003" xr:uid="{00000000-0005-0000-0000-00005D3A0000}"/>
    <cellStyle name="Note 7 8 4 2 3 2" xfId="15004" xr:uid="{00000000-0005-0000-0000-00005E3A0000}"/>
    <cellStyle name="Note 7 8 4 2 4" xfId="15005" xr:uid="{00000000-0005-0000-0000-00005F3A0000}"/>
    <cellStyle name="Note 7 8 4 2 5" xfId="15006" xr:uid="{00000000-0005-0000-0000-0000603A0000}"/>
    <cellStyle name="Note 7 8 4 2 6" xfId="15007" xr:uid="{00000000-0005-0000-0000-0000613A0000}"/>
    <cellStyle name="Note 7 8 4 2 7" xfId="15008" xr:uid="{00000000-0005-0000-0000-0000623A0000}"/>
    <cellStyle name="Note 7 8 4 2 8" xfId="15009" xr:uid="{00000000-0005-0000-0000-0000633A0000}"/>
    <cellStyle name="Note 7 8 4 3" xfId="15010" xr:uid="{00000000-0005-0000-0000-0000643A0000}"/>
    <cellStyle name="Note 7 8 4 3 2" xfId="15011" xr:uid="{00000000-0005-0000-0000-0000653A0000}"/>
    <cellStyle name="Note 7 8 4 3 2 2" xfId="15012" xr:uid="{00000000-0005-0000-0000-0000663A0000}"/>
    <cellStyle name="Note 7 8 4 3 3" xfId="15013" xr:uid="{00000000-0005-0000-0000-0000673A0000}"/>
    <cellStyle name="Note 7 8 4 3 4" xfId="15014" xr:uid="{00000000-0005-0000-0000-0000683A0000}"/>
    <cellStyle name="Note 7 8 4 4" xfId="15015" xr:uid="{00000000-0005-0000-0000-0000693A0000}"/>
    <cellStyle name="Note 7 8 4 4 2" xfId="15016" xr:uid="{00000000-0005-0000-0000-00006A3A0000}"/>
    <cellStyle name="Note 7 8 4 5" xfId="15017" xr:uid="{00000000-0005-0000-0000-00006B3A0000}"/>
    <cellStyle name="Note 7 8 4 5 2" xfId="15018" xr:uid="{00000000-0005-0000-0000-00006C3A0000}"/>
    <cellStyle name="Note 7 8 4 6" xfId="15019" xr:uid="{00000000-0005-0000-0000-00006D3A0000}"/>
    <cellStyle name="Note 7 8 4 6 2" xfId="15020" xr:uid="{00000000-0005-0000-0000-00006E3A0000}"/>
    <cellStyle name="Note 7 8 4 7" xfId="15021" xr:uid="{00000000-0005-0000-0000-00006F3A0000}"/>
    <cellStyle name="Note 7 8 4 8" xfId="15022" xr:uid="{00000000-0005-0000-0000-0000703A0000}"/>
    <cellStyle name="Note 7 8 4 9" xfId="15023" xr:uid="{00000000-0005-0000-0000-0000713A0000}"/>
    <cellStyle name="Note 7 8 5" xfId="15024" xr:uid="{00000000-0005-0000-0000-0000723A0000}"/>
    <cellStyle name="Note 7 8 5 2" xfId="15025" xr:uid="{00000000-0005-0000-0000-0000733A0000}"/>
    <cellStyle name="Note 7 8 5 2 2" xfId="15026" xr:uid="{00000000-0005-0000-0000-0000743A0000}"/>
    <cellStyle name="Note 7 8 5 2 3" xfId="15027" xr:uid="{00000000-0005-0000-0000-0000753A0000}"/>
    <cellStyle name="Note 7 8 5 3" xfId="15028" xr:uid="{00000000-0005-0000-0000-0000763A0000}"/>
    <cellStyle name="Note 7 8 5 3 2" xfId="15029" xr:uid="{00000000-0005-0000-0000-0000773A0000}"/>
    <cellStyle name="Note 7 8 5 4" xfId="15030" xr:uid="{00000000-0005-0000-0000-0000783A0000}"/>
    <cellStyle name="Note 7 8 5 5" xfId="15031" xr:uid="{00000000-0005-0000-0000-0000793A0000}"/>
    <cellStyle name="Note 7 8 5 6" xfId="15032" xr:uid="{00000000-0005-0000-0000-00007A3A0000}"/>
    <cellStyle name="Note 7 8 5 7" xfId="15033" xr:uid="{00000000-0005-0000-0000-00007B3A0000}"/>
    <cellStyle name="Note 7 8 5 8" xfId="15034" xr:uid="{00000000-0005-0000-0000-00007C3A0000}"/>
    <cellStyle name="Note 7 8 6" xfId="15035" xr:uid="{00000000-0005-0000-0000-00007D3A0000}"/>
    <cellStyle name="Note 7 8 6 2" xfId="15036" xr:uid="{00000000-0005-0000-0000-00007E3A0000}"/>
    <cellStyle name="Note 7 8 6 2 2" xfId="15037" xr:uid="{00000000-0005-0000-0000-00007F3A0000}"/>
    <cellStyle name="Note 7 8 6 3" xfId="15038" xr:uid="{00000000-0005-0000-0000-0000803A0000}"/>
    <cellStyle name="Note 7 8 6 4" xfId="15039" xr:uid="{00000000-0005-0000-0000-0000813A0000}"/>
    <cellStyle name="Note 7 8 7" xfId="15040" xr:uid="{00000000-0005-0000-0000-0000823A0000}"/>
    <cellStyle name="Note 7 8 7 2" xfId="15041" xr:uid="{00000000-0005-0000-0000-0000833A0000}"/>
    <cellStyle name="Note 7 8 8" xfId="15042" xr:uid="{00000000-0005-0000-0000-0000843A0000}"/>
    <cellStyle name="Note 7 8 8 2" xfId="15043" xr:uid="{00000000-0005-0000-0000-0000853A0000}"/>
    <cellStyle name="Note 7 8 9" xfId="15044" xr:uid="{00000000-0005-0000-0000-0000863A0000}"/>
    <cellStyle name="Note 7 8 9 2" xfId="15045" xr:uid="{00000000-0005-0000-0000-0000873A0000}"/>
    <cellStyle name="Note 7 9" xfId="15046" xr:uid="{00000000-0005-0000-0000-0000883A0000}"/>
    <cellStyle name="Note 8" xfId="3124" xr:uid="{00000000-0005-0000-0000-0000893A0000}"/>
    <cellStyle name="Note 8 10" xfId="15047" xr:uid="{00000000-0005-0000-0000-00008A3A0000}"/>
    <cellStyle name="Note 8 2" xfId="15048" xr:uid="{00000000-0005-0000-0000-00008B3A0000}"/>
    <cellStyle name="Note 8 2 2" xfId="15049" xr:uid="{00000000-0005-0000-0000-00008C3A0000}"/>
    <cellStyle name="Note 8 3" xfId="15050" xr:uid="{00000000-0005-0000-0000-00008D3A0000}"/>
    <cellStyle name="Note 8 3 2" xfId="15051" xr:uid="{00000000-0005-0000-0000-00008E3A0000}"/>
    <cellStyle name="Note 8 4" xfId="15052" xr:uid="{00000000-0005-0000-0000-00008F3A0000}"/>
    <cellStyle name="Note 8 4 2" xfId="15053" xr:uid="{00000000-0005-0000-0000-0000903A0000}"/>
    <cellStyle name="Note 8 5" xfId="15054" xr:uid="{00000000-0005-0000-0000-0000913A0000}"/>
    <cellStyle name="Note 8 6" xfId="15055" xr:uid="{00000000-0005-0000-0000-0000923A0000}"/>
    <cellStyle name="Note 8 7" xfId="15056" xr:uid="{00000000-0005-0000-0000-0000933A0000}"/>
    <cellStyle name="Note 8 8" xfId="15057" xr:uid="{00000000-0005-0000-0000-0000943A0000}"/>
    <cellStyle name="Note 8 9" xfId="15058" xr:uid="{00000000-0005-0000-0000-0000953A0000}"/>
    <cellStyle name="Note 9" xfId="3218" xr:uid="{00000000-0005-0000-0000-0000963A0000}"/>
    <cellStyle name="Note 9 2" xfId="15059" xr:uid="{00000000-0005-0000-0000-0000973A0000}"/>
    <cellStyle name="Note 9 3" xfId="15060" xr:uid="{00000000-0005-0000-0000-0000983A0000}"/>
    <cellStyle name="Note 9 4" xfId="15061" xr:uid="{00000000-0005-0000-0000-0000993A0000}"/>
    <cellStyle name="Note 9 5" xfId="15062" xr:uid="{00000000-0005-0000-0000-00009A3A0000}"/>
    <cellStyle name="nPlosion" xfId="15063" xr:uid="{00000000-0005-0000-0000-00009B3A0000}"/>
    <cellStyle name="Null Zone Pattern" xfId="15064" xr:uid="{00000000-0005-0000-0000-00009C3A0000}"/>
    <cellStyle name="Number" xfId="15065" xr:uid="{00000000-0005-0000-0000-00009D3A0000}"/>
    <cellStyle name="nvision" xfId="15066" xr:uid="{00000000-0005-0000-0000-00009E3A0000}"/>
    <cellStyle name="Output 10" xfId="15067" xr:uid="{00000000-0005-0000-0000-00009F3A0000}"/>
    <cellStyle name="Output 11" xfId="15068" xr:uid="{00000000-0005-0000-0000-0000A03A0000}"/>
    <cellStyle name="Output 2" xfId="3125" xr:uid="{00000000-0005-0000-0000-0000A13A0000}"/>
    <cellStyle name="Output 2 2" xfId="15069" xr:uid="{00000000-0005-0000-0000-0000A23A0000}"/>
    <cellStyle name="Output 2 2 2" xfId="15070" xr:uid="{00000000-0005-0000-0000-0000A33A0000}"/>
    <cellStyle name="Output 2 3" xfId="15071" xr:uid="{00000000-0005-0000-0000-0000A43A0000}"/>
    <cellStyle name="Output 2 4" xfId="15072" xr:uid="{00000000-0005-0000-0000-0000A53A0000}"/>
    <cellStyle name="Output 2 5" xfId="15073" xr:uid="{00000000-0005-0000-0000-0000A63A0000}"/>
    <cellStyle name="Output 2 6" xfId="15074" xr:uid="{00000000-0005-0000-0000-0000A73A0000}"/>
    <cellStyle name="Output 2 7" xfId="15075" xr:uid="{00000000-0005-0000-0000-0000A83A0000}"/>
    <cellStyle name="Output 3" xfId="3126" xr:uid="{00000000-0005-0000-0000-0000A93A0000}"/>
    <cellStyle name="Output 3 2" xfId="15076" xr:uid="{00000000-0005-0000-0000-0000AA3A0000}"/>
    <cellStyle name="Output 3 2 2" xfId="15077" xr:uid="{00000000-0005-0000-0000-0000AB3A0000}"/>
    <cellStyle name="Output 3 3" xfId="15078" xr:uid="{00000000-0005-0000-0000-0000AC3A0000}"/>
    <cellStyle name="Output 3 4" xfId="15079" xr:uid="{00000000-0005-0000-0000-0000AD3A0000}"/>
    <cellStyle name="Output 4" xfId="3219" xr:uid="{00000000-0005-0000-0000-0000AE3A0000}"/>
    <cellStyle name="Output 4 2" xfId="15080" xr:uid="{00000000-0005-0000-0000-0000AF3A0000}"/>
    <cellStyle name="Output 5" xfId="15081" xr:uid="{00000000-0005-0000-0000-0000B03A0000}"/>
    <cellStyle name="Output 5 2" xfId="15082" xr:uid="{00000000-0005-0000-0000-0000B13A0000}"/>
    <cellStyle name="Output 6" xfId="15083" xr:uid="{00000000-0005-0000-0000-0000B23A0000}"/>
    <cellStyle name="Output 6 2" xfId="15084" xr:uid="{00000000-0005-0000-0000-0000B33A0000}"/>
    <cellStyle name="Output 7" xfId="15085" xr:uid="{00000000-0005-0000-0000-0000B43A0000}"/>
    <cellStyle name="Output 8" xfId="15086" xr:uid="{00000000-0005-0000-0000-0000B53A0000}"/>
    <cellStyle name="Output 9" xfId="15087" xr:uid="{00000000-0005-0000-0000-0000B63A0000}"/>
    <cellStyle name="Output 9 2" xfId="15088" xr:uid="{00000000-0005-0000-0000-0000B73A0000}"/>
    <cellStyle name="Output 9 3" xfId="15089" xr:uid="{00000000-0005-0000-0000-0000B83A0000}"/>
    <cellStyle name="OUTPUT AMOUNTS" xfId="15090" xr:uid="{00000000-0005-0000-0000-0000B93A0000}"/>
    <cellStyle name="Page Heading Large" xfId="15091" xr:uid="{00000000-0005-0000-0000-0000BA3A0000}"/>
    <cellStyle name="Page Heading Small" xfId="15092" xr:uid="{00000000-0005-0000-0000-0000BB3A0000}"/>
    <cellStyle name="Page Number" xfId="15093" xr:uid="{00000000-0005-0000-0000-0000BC3A0000}"/>
    <cellStyle name="Parens (1)" xfId="15094" xr:uid="{00000000-0005-0000-0000-0000BD3A0000}"/>
    <cellStyle name="PB Table Heading" xfId="15095" xr:uid="{00000000-0005-0000-0000-0000BE3A0000}"/>
    <cellStyle name="PB Table Highlight1" xfId="15096" xr:uid="{00000000-0005-0000-0000-0000BF3A0000}"/>
    <cellStyle name="PB Table Highlight2" xfId="15097" xr:uid="{00000000-0005-0000-0000-0000C03A0000}"/>
    <cellStyle name="PB Table Highlight3" xfId="15098" xr:uid="{00000000-0005-0000-0000-0000C13A0000}"/>
    <cellStyle name="PB Table Standard Row" xfId="15099" xr:uid="{00000000-0005-0000-0000-0000C23A0000}"/>
    <cellStyle name="PB Table Subtotal Row" xfId="15100" xr:uid="{00000000-0005-0000-0000-0000C33A0000}"/>
    <cellStyle name="PB Table Total Row" xfId="15101" xr:uid="{00000000-0005-0000-0000-0000C43A0000}"/>
    <cellStyle name="Percent" xfId="2" builtinId="5"/>
    <cellStyle name="Percent [2]" xfId="3127" xr:uid="{00000000-0005-0000-0000-0000C63A0000}"/>
    <cellStyle name="Percent [2] 10" xfId="15102" xr:uid="{00000000-0005-0000-0000-0000C73A0000}"/>
    <cellStyle name="Percent [2] 2" xfId="15103" xr:uid="{00000000-0005-0000-0000-0000C83A0000}"/>
    <cellStyle name="Percent [2] 2 2" xfId="15104" xr:uid="{00000000-0005-0000-0000-0000C93A0000}"/>
    <cellStyle name="Percent [2] 2 2 2" xfId="15105" xr:uid="{00000000-0005-0000-0000-0000CA3A0000}"/>
    <cellStyle name="Percent [2] 2 2 2 2" xfId="15106" xr:uid="{00000000-0005-0000-0000-0000CB3A0000}"/>
    <cellStyle name="Percent [2] 2 2 3" xfId="15107" xr:uid="{00000000-0005-0000-0000-0000CC3A0000}"/>
    <cellStyle name="Percent [2] 2 3" xfId="15108" xr:uid="{00000000-0005-0000-0000-0000CD3A0000}"/>
    <cellStyle name="Percent [2] 2 3 2" xfId="15109" xr:uid="{00000000-0005-0000-0000-0000CE3A0000}"/>
    <cellStyle name="Percent [2] 2 4" xfId="15110" xr:uid="{00000000-0005-0000-0000-0000CF3A0000}"/>
    <cellStyle name="Percent [2] 2 4 2" xfId="15111" xr:uid="{00000000-0005-0000-0000-0000D03A0000}"/>
    <cellStyle name="Percent [2] 2 4 2 2" xfId="15112" xr:uid="{00000000-0005-0000-0000-0000D13A0000}"/>
    <cellStyle name="Percent [2] 2 4 3" xfId="15113" xr:uid="{00000000-0005-0000-0000-0000D23A0000}"/>
    <cellStyle name="Percent [2] 2 5" xfId="15114" xr:uid="{00000000-0005-0000-0000-0000D33A0000}"/>
    <cellStyle name="Percent [2] 2 6" xfId="15115" xr:uid="{00000000-0005-0000-0000-0000D43A0000}"/>
    <cellStyle name="Percent [2] 2 6 2" xfId="15116" xr:uid="{00000000-0005-0000-0000-0000D53A0000}"/>
    <cellStyle name="Percent [2] 2 7" xfId="15117" xr:uid="{00000000-0005-0000-0000-0000D63A0000}"/>
    <cellStyle name="Percent [2] 3" xfId="15118" xr:uid="{00000000-0005-0000-0000-0000D73A0000}"/>
    <cellStyle name="Percent [2] 3 2" xfId="15119" xr:uid="{00000000-0005-0000-0000-0000D83A0000}"/>
    <cellStyle name="Percent [2] 3 2 2" xfId="15120" xr:uid="{00000000-0005-0000-0000-0000D93A0000}"/>
    <cellStyle name="Percent [2] 3 3" xfId="15121" xr:uid="{00000000-0005-0000-0000-0000DA3A0000}"/>
    <cellStyle name="Percent [2] 3 4" xfId="15122" xr:uid="{00000000-0005-0000-0000-0000DB3A0000}"/>
    <cellStyle name="Percent [2] 3 4 2" xfId="15123" xr:uid="{00000000-0005-0000-0000-0000DC3A0000}"/>
    <cellStyle name="Percent [2] 3 5" xfId="15124" xr:uid="{00000000-0005-0000-0000-0000DD3A0000}"/>
    <cellStyle name="Percent [2] 3 6" xfId="15125" xr:uid="{00000000-0005-0000-0000-0000DE3A0000}"/>
    <cellStyle name="Percent [2] 3 7" xfId="15126" xr:uid="{00000000-0005-0000-0000-0000DF3A0000}"/>
    <cellStyle name="Percent [2] 4" xfId="15127" xr:uid="{00000000-0005-0000-0000-0000E03A0000}"/>
    <cellStyle name="Percent [2] 4 2" xfId="15128" xr:uid="{00000000-0005-0000-0000-0000E13A0000}"/>
    <cellStyle name="Percent [2] 4 3" xfId="15129" xr:uid="{00000000-0005-0000-0000-0000E23A0000}"/>
    <cellStyle name="Percent [2] 5" xfId="15130" xr:uid="{00000000-0005-0000-0000-0000E33A0000}"/>
    <cellStyle name="Percent [2] 5 2" xfId="15131" xr:uid="{00000000-0005-0000-0000-0000E43A0000}"/>
    <cellStyle name="Percent [2] 5 2 2" xfId="15132" xr:uid="{00000000-0005-0000-0000-0000E53A0000}"/>
    <cellStyle name="Percent [2] 5 3" xfId="15133" xr:uid="{00000000-0005-0000-0000-0000E63A0000}"/>
    <cellStyle name="Percent [2] 6" xfId="15134" xr:uid="{00000000-0005-0000-0000-0000E73A0000}"/>
    <cellStyle name="Percent [2] 7" xfId="15135" xr:uid="{00000000-0005-0000-0000-0000E83A0000}"/>
    <cellStyle name="Percent [2] 8" xfId="15136" xr:uid="{00000000-0005-0000-0000-0000E93A0000}"/>
    <cellStyle name="Percent [2] 9" xfId="15137" xr:uid="{00000000-0005-0000-0000-0000EA3A0000}"/>
    <cellStyle name="Percent 1" xfId="15138" xr:uid="{00000000-0005-0000-0000-0000EB3A0000}"/>
    <cellStyle name="Percent 10" xfId="3128" xr:uid="{00000000-0005-0000-0000-0000EC3A0000}"/>
    <cellStyle name="Percent 10 10" xfId="15139" xr:uid="{00000000-0005-0000-0000-0000ED3A0000}"/>
    <cellStyle name="Percent 10 11" xfId="15140" xr:uid="{00000000-0005-0000-0000-0000EE3A0000}"/>
    <cellStyle name="Percent 10 2" xfId="15141" xr:uid="{00000000-0005-0000-0000-0000EF3A0000}"/>
    <cellStyle name="Percent 10 2 2" xfId="15142" xr:uid="{00000000-0005-0000-0000-0000F03A0000}"/>
    <cellStyle name="Percent 10 2 2 2" xfId="15143" xr:uid="{00000000-0005-0000-0000-0000F13A0000}"/>
    <cellStyle name="Percent 10 2 2 2 2" xfId="15144" xr:uid="{00000000-0005-0000-0000-0000F23A0000}"/>
    <cellStyle name="Percent 10 2 2 3" xfId="15145" xr:uid="{00000000-0005-0000-0000-0000F33A0000}"/>
    <cellStyle name="Percent 10 2 3" xfId="15146" xr:uid="{00000000-0005-0000-0000-0000F43A0000}"/>
    <cellStyle name="Percent 10 2 3 2" xfId="15147" xr:uid="{00000000-0005-0000-0000-0000F53A0000}"/>
    <cellStyle name="Percent 10 2 4" xfId="15148" xr:uid="{00000000-0005-0000-0000-0000F63A0000}"/>
    <cellStyle name="Percent 10 2 5" xfId="15149" xr:uid="{00000000-0005-0000-0000-0000F73A0000}"/>
    <cellStyle name="Percent 10 2 6" xfId="15150" xr:uid="{00000000-0005-0000-0000-0000F83A0000}"/>
    <cellStyle name="Percent 10 2 7" xfId="15151" xr:uid="{00000000-0005-0000-0000-0000F93A0000}"/>
    <cellStyle name="Percent 10 2 8" xfId="15152" xr:uid="{00000000-0005-0000-0000-0000FA3A0000}"/>
    <cellStyle name="Percent 10 3" xfId="15153" xr:uid="{00000000-0005-0000-0000-0000FB3A0000}"/>
    <cellStyle name="Percent 10 3 2" xfId="15154" xr:uid="{00000000-0005-0000-0000-0000FC3A0000}"/>
    <cellStyle name="Percent 10 3 2 2" xfId="15155" xr:uid="{00000000-0005-0000-0000-0000FD3A0000}"/>
    <cellStyle name="Percent 10 3 3" xfId="15156" xr:uid="{00000000-0005-0000-0000-0000FE3A0000}"/>
    <cellStyle name="Percent 10 3 4" xfId="15157" xr:uid="{00000000-0005-0000-0000-0000FF3A0000}"/>
    <cellStyle name="Percent 10 4" xfId="15158" xr:uid="{00000000-0005-0000-0000-0000003B0000}"/>
    <cellStyle name="Percent 10 4 2" xfId="15159" xr:uid="{00000000-0005-0000-0000-0000013B0000}"/>
    <cellStyle name="Percent 10 5" xfId="15160" xr:uid="{00000000-0005-0000-0000-0000023B0000}"/>
    <cellStyle name="Percent 10 5 2" xfId="15161" xr:uid="{00000000-0005-0000-0000-0000033B0000}"/>
    <cellStyle name="Percent 10 6" xfId="15162" xr:uid="{00000000-0005-0000-0000-0000043B0000}"/>
    <cellStyle name="Percent 10 6 2" xfId="15163" xr:uid="{00000000-0005-0000-0000-0000053B0000}"/>
    <cellStyle name="Percent 10 7" xfId="15164" xr:uid="{00000000-0005-0000-0000-0000063B0000}"/>
    <cellStyle name="Percent 10 8" xfId="15165" xr:uid="{00000000-0005-0000-0000-0000073B0000}"/>
    <cellStyle name="Percent 10 9" xfId="15166" xr:uid="{00000000-0005-0000-0000-0000083B0000}"/>
    <cellStyle name="Percent 100" xfId="15167" xr:uid="{00000000-0005-0000-0000-0000093B0000}"/>
    <cellStyle name="Percent 101" xfId="15168" xr:uid="{00000000-0005-0000-0000-00000A3B0000}"/>
    <cellStyle name="Percent 102" xfId="15169" xr:uid="{00000000-0005-0000-0000-00000B3B0000}"/>
    <cellStyle name="Percent 103" xfId="15170" xr:uid="{00000000-0005-0000-0000-00000C3B0000}"/>
    <cellStyle name="Percent 104" xfId="15171" xr:uid="{00000000-0005-0000-0000-00000D3B0000}"/>
    <cellStyle name="Percent 105" xfId="15172" xr:uid="{00000000-0005-0000-0000-00000E3B0000}"/>
    <cellStyle name="Percent 106" xfId="15173" xr:uid="{00000000-0005-0000-0000-00000F3B0000}"/>
    <cellStyle name="Percent 107" xfId="15174" xr:uid="{00000000-0005-0000-0000-0000103B0000}"/>
    <cellStyle name="Percent 108" xfId="15175" xr:uid="{00000000-0005-0000-0000-0000113B0000}"/>
    <cellStyle name="Percent 109" xfId="15176" xr:uid="{00000000-0005-0000-0000-0000123B0000}"/>
    <cellStyle name="Percent 11" xfId="3129" xr:uid="{00000000-0005-0000-0000-0000133B0000}"/>
    <cellStyle name="Percent 11 10" xfId="15177" xr:uid="{00000000-0005-0000-0000-0000143B0000}"/>
    <cellStyle name="Percent 11 11" xfId="15178" xr:uid="{00000000-0005-0000-0000-0000153B0000}"/>
    <cellStyle name="Percent 11 2" xfId="15179" xr:uid="{00000000-0005-0000-0000-0000163B0000}"/>
    <cellStyle name="Percent 11 2 2" xfId="15180" xr:uid="{00000000-0005-0000-0000-0000173B0000}"/>
    <cellStyle name="Percent 11 2 2 2" xfId="15181" xr:uid="{00000000-0005-0000-0000-0000183B0000}"/>
    <cellStyle name="Percent 11 2 2 2 2" xfId="15182" xr:uid="{00000000-0005-0000-0000-0000193B0000}"/>
    <cellStyle name="Percent 11 2 2 3" xfId="15183" xr:uid="{00000000-0005-0000-0000-00001A3B0000}"/>
    <cellStyle name="Percent 11 2 3" xfId="15184" xr:uid="{00000000-0005-0000-0000-00001B3B0000}"/>
    <cellStyle name="Percent 11 2 3 2" xfId="15185" xr:uid="{00000000-0005-0000-0000-00001C3B0000}"/>
    <cellStyle name="Percent 11 2 4" xfId="15186" xr:uid="{00000000-0005-0000-0000-00001D3B0000}"/>
    <cellStyle name="Percent 11 2 5" xfId="15187" xr:uid="{00000000-0005-0000-0000-00001E3B0000}"/>
    <cellStyle name="Percent 11 2 6" xfId="15188" xr:uid="{00000000-0005-0000-0000-00001F3B0000}"/>
    <cellStyle name="Percent 11 2 7" xfId="15189" xr:uid="{00000000-0005-0000-0000-0000203B0000}"/>
    <cellStyle name="Percent 11 2 8" xfId="15190" xr:uid="{00000000-0005-0000-0000-0000213B0000}"/>
    <cellStyle name="Percent 11 3" xfId="15191" xr:uid="{00000000-0005-0000-0000-0000223B0000}"/>
    <cellStyle name="Percent 11 3 2" xfId="15192" xr:uid="{00000000-0005-0000-0000-0000233B0000}"/>
    <cellStyle name="Percent 11 3 2 2" xfId="15193" xr:uid="{00000000-0005-0000-0000-0000243B0000}"/>
    <cellStyle name="Percent 11 3 3" xfId="15194" xr:uid="{00000000-0005-0000-0000-0000253B0000}"/>
    <cellStyle name="Percent 11 3 4" xfId="15195" xr:uid="{00000000-0005-0000-0000-0000263B0000}"/>
    <cellStyle name="Percent 11 4" xfId="15196" xr:uid="{00000000-0005-0000-0000-0000273B0000}"/>
    <cellStyle name="Percent 11 4 2" xfId="15197" xr:uid="{00000000-0005-0000-0000-0000283B0000}"/>
    <cellStyle name="Percent 11 5" xfId="15198" xr:uid="{00000000-0005-0000-0000-0000293B0000}"/>
    <cellStyle name="Percent 11 5 2" xfId="15199" xr:uid="{00000000-0005-0000-0000-00002A3B0000}"/>
    <cellStyle name="Percent 11 6" xfId="15200" xr:uid="{00000000-0005-0000-0000-00002B3B0000}"/>
    <cellStyle name="Percent 11 6 2" xfId="15201" xr:uid="{00000000-0005-0000-0000-00002C3B0000}"/>
    <cellStyle name="Percent 11 7" xfId="15202" xr:uid="{00000000-0005-0000-0000-00002D3B0000}"/>
    <cellStyle name="Percent 11 8" xfId="15203" xr:uid="{00000000-0005-0000-0000-00002E3B0000}"/>
    <cellStyle name="Percent 11 9" xfId="15204" xr:uid="{00000000-0005-0000-0000-00002F3B0000}"/>
    <cellStyle name="Percent 110" xfId="15205" xr:uid="{00000000-0005-0000-0000-0000303B0000}"/>
    <cellStyle name="Percent 111" xfId="15206" xr:uid="{00000000-0005-0000-0000-0000313B0000}"/>
    <cellStyle name="Percent 112" xfId="15207" xr:uid="{00000000-0005-0000-0000-0000323B0000}"/>
    <cellStyle name="Percent 113" xfId="15208" xr:uid="{00000000-0005-0000-0000-0000333B0000}"/>
    <cellStyle name="Percent 114" xfId="15209" xr:uid="{00000000-0005-0000-0000-0000343B0000}"/>
    <cellStyle name="Percent 115" xfId="15210" xr:uid="{00000000-0005-0000-0000-0000353B0000}"/>
    <cellStyle name="Percent 116" xfId="15211" xr:uid="{00000000-0005-0000-0000-0000363B0000}"/>
    <cellStyle name="Percent 117" xfId="15212" xr:uid="{00000000-0005-0000-0000-0000373B0000}"/>
    <cellStyle name="Percent 118" xfId="15213" xr:uid="{00000000-0005-0000-0000-0000383B0000}"/>
    <cellStyle name="Percent 119" xfId="15214" xr:uid="{00000000-0005-0000-0000-0000393B0000}"/>
    <cellStyle name="Percent 12" xfId="3130" xr:uid="{00000000-0005-0000-0000-00003A3B0000}"/>
    <cellStyle name="Percent 12 10" xfId="15215" xr:uid="{00000000-0005-0000-0000-00003B3B0000}"/>
    <cellStyle name="Percent 12 11" xfId="15216" xr:uid="{00000000-0005-0000-0000-00003C3B0000}"/>
    <cellStyle name="Percent 12 2" xfId="15217" xr:uid="{00000000-0005-0000-0000-00003D3B0000}"/>
    <cellStyle name="Percent 12 2 2" xfId="15218" xr:uid="{00000000-0005-0000-0000-00003E3B0000}"/>
    <cellStyle name="Percent 12 2 2 2" xfId="15219" xr:uid="{00000000-0005-0000-0000-00003F3B0000}"/>
    <cellStyle name="Percent 12 2 2 2 2" xfId="15220" xr:uid="{00000000-0005-0000-0000-0000403B0000}"/>
    <cellStyle name="Percent 12 2 2 3" xfId="15221" xr:uid="{00000000-0005-0000-0000-0000413B0000}"/>
    <cellStyle name="Percent 12 2 3" xfId="15222" xr:uid="{00000000-0005-0000-0000-0000423B0000}"/>
    <cellStyle name="Percent 12 2 3 2" xfId="15223" xr:uid="{00000000-0005-0000-0000-0000433B0000}"/>
    <cellStyle name="Percent 12 2 4" xfId="15224" xr:uid="{00000000-0005-0000-0000-0000443B0000}"/>
    <cellStyle name="Percent 12 2 5" xfId="15225" xr:uid="{00000000-0005-0000-0000-0000453B0000}"/>
    <cellStyle name="Percent 12 2 6" xfId="15226" xr:uid="{00000000-0005-0000-0000-0000463B0000}"/>
    <cellStyle name="Percent 12 2 7" xfId="15227" xr:uid="{00000000-0005-0000-0000-0000473B0000}"/>
    <cellStyle name="Percent 12 2 8" xfId="15228" xr:uid="{00000000-0005-0000-0000-0000483B0000}"/>
    <cellStyle name="Percent 12 3" xfId="15229" xr:uid="{00000000-0005-0000-0000-0000493B0000}"/>
    <cellStyle name="Percent 12 3 2" xfId="15230" xr:uid="{00000000-0005-0000-0000-00004A3B0000}"/>
    <cellStyle name="Percent 12 3 2 2" xfId="15231" xr:uid="{00000000-0005-0000-0000-00004B3B0000}"/>
    <cellStyle name="Percent 12 3 3" xfId="15232" xr:uid="{00000000-0005-0000-0000-00004C3B0000}"/>
    <cellStyle name="Percent 12 3 4" xfId="15233" xr:uid="{00000000-0005-0000-0000-00004D3B0000}"/>
    <cellStyle name="Percent 12 4" xfId="15234" xr:uid="{00000000-0005-0000-0000-00004E3B0000}"/>
    <cellStyle name="Percent 12 4 2" xfId="15235" xr:uid="{00000000-0005-0000-0000-00004F3B0000}"/>
    <cellStyle name="Percent 12 5" xfId="15236" xr:uid="{00000000-0005-0000-0000-0000503B0000}"/>
    <cellStyle name="Percent 12 5 2" xfId="15237" xr:uid="{00000000-0005-0000-0000-0000513B0000}"/>
    <cellStyle name="Percent 12 6" xfId="15238" xr:uid="{00000000-0005-0000-0000-0000523B0000}"/>
    <cellStyle name="Percent 12 6 2" xfId="15239" xr:uid="{00000000-0005-0000-0000-0000533B0000}"/>
    <cellStyle name="Percent 12 7" xfId="15240" xr:uid="{00000000-0005-0000-0000-0000543B0000}"/>
    <cellStyle name="Percent 12 8" xfId="15241" xr:uid="{00000000-0005-0000-0000-0000553B0000}"/>
    <cellStyle name="Percent 12 9" xfId="15242" xr:uid="{00000000-0005-0000-0000-0000563B0000}"/>
    <cellStyle name="Percent 120" xfId="15243" xr:uid="{00000000-0005-0000-0000-0000573B0000}"/>
    <cellStyle name="Percent 121" xfId="15244" xr:uid="{00000000-0005-0000-0000-0000583B0000}"/>
    <cellStyle name="Percent 122" xfId="15245" xr:uid="{00000000-0005-0000-0000-0000593B0000}"/>
    <cellStyle name="Percent 123" xfId="15246" xr:uid="{00000000-0005-0000-0000-00005A3B0000}"/>
    <cellStyle name="Percent 124" xfId="15247" xr:uid="{00000000-0005-0000-0000-00005B3B0000}"/>
    <cellStyle name="Percent 125" xfId="15248" xr:uid="{00000000-0005-0000-0000-00005C3B0000}"/>
    <cellStyle name="Percent 126" xfId="15249" xr:uid="{00000000-0005-0000-0000-00005D3B0000}"/>
    <cellStyle name="Percent 127" xfId="15250" xr:uid="{00000000-0005-0000-0000-00005E3B0000}"/>
    <cellStyle name="Percent 128" xfId="15251" xr:uid="{00000000-0005-0000-0000-00005F3B0000}"/>
    <cellStyle name="Percent 129" xfId="15252" xr:uid="{00000000-0005-0000-0000-0000603B0000}"/>
    <cellStyle name="Percent 13" xfId="3131" xr:uid="{00000000-0005-0000-0000-0000613B0000}"/>
    <cellStyle name="Percent 13 10" xfId="15253" xr:uid="{00000000-0005-0000-0000-0000623B0000}"/>
    <cellStyle name="Percent 13 2" xfId="15254" xr:uid="{00000000-0005-0000-0000-0000633B0000}"/>
    <cellStyle name="Percent 13 2 2" xfId="15255" xr:uid="{00000000-0005-0000-0000-0000643B0000}"/>
    <cellStyle name="Percent 13 2 2 2" xfId="15256" xr:uid="{00000000-0005-0000-0000-0000653B0000}"/>
    <cellStyle name="Percent 13 2 2 2 2" xfId="15257" xr:uid="{00000000-0005-0000-0000-0000663B0000}"/>
    <cellStyle name="Percent 13 2 2 3" xfId="15258" xr:uid="{00000000-0005-0000-0000-0000673B0000}"/>
    <cellStyle name="Percent 13 2 3" xfId="15259" xr:uid="{00000000-0005-0000-0000-0000683B0000}"/>
    <cellStyle name="Percent 13 2 3 2" xfId="15260" xr:uid="{00000000-0005-0000-0000-0000693B0000}"/>
    <cellStyle name="Percent 13 2 4" xfId="15261" xr:uid="{00000000-0005-0000-0000-00006A3B0000}"/>
    <cellStyle name="Percent 13 2 5" xfId="15262" xr:uid="{00000000-0005-0000-0000-00006B3B0000}"/>
    <cellStyle name="Percent 13 2 6" xfId="15263" xr:uid="{00000000-0005-0000-0000-00006C3B0000}"/>
    <cellStyle name="Percent 13 2 7" xfId="15264" xr:uid="{00000000-0005-0000-0000-00006D3B0000}"/>
    <cellStyle name="Percent 13 2 8" xfId="15265" xr:uid="{00000000-0005-0000-0000-00006E3B0000}"/>
    <cellStyle name="Percent 13 3" xfId="15266" xr:uid="{00000000-0005-0000-0000-00006F3B0000}"/>
    <cellStyle name="Percent 13 3 2" xfId="15267" xr:uid="{00000000-0005-0000-0000-0000703B0000}"/>
    <cellStyle name="Percent 13 3 2 2" xfId="15268" xr:uid="{00000000-0005-0000-0000-0000713B0000}"/>
    <cellStyle name="Percent 13 3 2 2 2" xfId="15269" xr:uid="{00000000-0005-0000-0000-0000723B0000}"/>
    <cellStyle name="Percent 13 3 3" xfId="15270" xr:uid="{00000000-0005-0000-0000-0000733B0000}"/>
    <cellStyle name="Percent 13 4" xfId="15271" xr:uid="{00000000-0005-0000-0000-0000743B0000}"/>
    <cellStyle name="Percent 13 4 2" xfId="15272" xr:uid="{00000000-0005-0000-0000-0000753B0000}"/>
    <cellStyle name="Percent 13 5" xfId="15273" xr:uid="{00000000-0005-0000-0000-0000763B0000}"/>
    <cellStyle name="Percent 13 5 2" xfId="15274" xr:uid="{00000000-0005-0000-0000-0000773B0000}"/>
    <cellStyle name="Percent 13 6" xfId="15275" xr:uid="{00000000-0005-0000-0000-0000783B0000}"/>
    <cellStyle name="Percent 13 7" xfId="15276" xr:uid="{00000000-0005-0000-0000-0000793B0000}"/>
    <cellStyle name="Percent 13 8" xfId="15277" xr:uid="{00000000-0005-0000-0000-00007A3B0000}"/>
    <cellStyle name="Percent 13 9" xfId="15278" xr:uid="{00000000-0005-0000-0000-00007B3B0000}"/>
    <cellStyle name="Percent 130" xfId="15279" xr:uid="{00000000-0005-0000-0000-00007C3B0000}"/>
    <cellStyle name="Percent 131" xfId="15280" xr:uid="{00000000-0005-0000-0000-00007D3B0000}"/>
    <cellStyle name="Percent 132" xfId="15281" xr:uid="{00000000-0005-0000-0000-00007E3B0000}"/>
    <cellStyle name="Percent 133" xfId="15282" xr:uid="{00000000-0005-0000-0000-00007F3B0000}"/>
    <cellStyle name="Percent 134" xfId="15283" xr:uid="{00000000-0005-0000-0000-0000803B0000}"/>
    <cellStyle name="Percent 135" xfId="15284" xr:uid="{00000000-0005-0000-0000-0000813B0000}"/>
    <cellStyle name="Percent 136" xfId="15285" xr:uid="{00000000-0005-0000-0000-0000823B0000}"/>
    <cellStyle name="Percent 137" xfId="15286" xr:uid="{00000000-0005-0000-0000-0000833B0000}"/>
    <cellStyle name="Percent 138" xfId="15287" xr:uid="{00000000-0005-0000-0000-0000843B0000}"/>
    <cellStyle name="Percent 139" xfId="15288" xr:uid="{00000000-0005-0000-0000-0000853B0000}"/>
    <cellStyle name="Percent 14" xfId="3220" xr:uid="{00000000-0005-0000-0000-0000863B0000}"/>
    <cellStyle name="Percent 14 2" xfId="15289" xr:uid="{00000000-0005-0000-0000-0000873B0000}"/>
    <cellStyle name="Percent 14 2 2" xfId="15290" xr:uid="{00000000-0005-0000-0000-0000883B0000}"/>
    <cellStyle name="Percent 14 2 2 2" xfId="15291" xr:uid="{00000000-0005-0000-0000-0000893B0000}"/>
    <cellStyle name="Percent 14 2 2 2 2" xfId="15292" xr:uid="{00000000-0005-0000-0000-00008A3B0000}"/>
    <cellStyle name="Percent 14 2 2 3" xfId="15293" xr:uid="{00000000-0005-0000-0000-00008B3B0000}"/>
    <cellStyle name="Percent 14 2 3" xfId="15294" xr:uid="{00000000-0005-0000-0000-00008C3B0000}"/>
    <cellStyle name="Percent 14 2 3 2" xfId="15295" xr:uid="{00000000-0005-0000-0000-00008D3B0000}"/>
    <cellStyle name="Percent 14 2 4" xfId="15296" xr:uid="{00000000-0005-0000-0000-00008E3B0000}"/>
    <cellStyle name="Percent 14 3" xfId="15297" xr:uid="{00000000-0005-0000-0000-00008F3B0000}"/>
    <cellStyle name="Percent 14 3 2" xfId="15298" xr:uid="{00000000-0005-0000-0000-0000903B0000}"/>
    <cellStyle name="Percent 14 3 2 2" xfId="15299" xr:uid="{00000000-0005-0000-0000-0000913B0000}"/>
    <cellStyle name="Percent 14 3 3" xfId="15300" xr:uid="{00000000-0005-0000-0000-0000923B0000}"/>
    <cellStyle name="Percent 14 4" xfId="15301" xr:uid="{00000000-0005-0000-0000-0000933B0000}"/>
    <cellStyle name="Percent 14 4 2" xfId="15302" xr:uid="{00000000-0005-0000-0000-0000943B0000}"/>
    <cellStyle name="Percent 14 5" xfId="15303" xr:uid="{00000000-0005-0000-0000-0000953B0000}"/>
    <cellStyle name="Percent 14 6" xfId="15304" xr:uid="{00000000-0005-0000-0000-0000963B0000}"/>
    <cellStyle name="Percent 140" xfId="15305" xr:uid="{00000000-0005-0000-0000-0000973B0000}"/>
    <cellStyle name="Percent 141" xfId="15306" xr:uid="{00000000-0005-0000-0000-0000983B0000}"/>
    <cellStyle name="Percent 142" xfId="15307" xr:uid="{00000000-0005-0000-0000-0000993B0000}"/>
    <cellStyle name="Percent 143" xfId="15308" xr:uid="{00000000-0005-0000-0000-00009A3B0000}"/>
    <cellStyle name="Percent 144" xfId="15309" xr:uid="{00000000-0005-0000-0000-00009B3B0000}"/>
    <cellStyle name="Percent 145" xfId="15310" xr:uid="{00000000-0005-0000-0000-00009C3B0000}"/>
    <cellStyle name="Percent 146" xfId="15311" xr:uid="{00000000-0005-0000-0000-00009D3B0000}"/>
    <cellStyle name="Percent 147" xfId="15312" xr:uid="{00000000-0005-0000-0000-00009E3B0000}"/>
    <cellStyle name="Percent 148" xfId="15313" xr:uid="{00000000-0005-0000-0000-00009F3B0000}"/>
    <cellStyle name="Percent 149" xfId="15314" xr:uid="{00000000-0005-0000-0000-0000A03B0000}"/>
    <cellStyle name="Percent 15" xfId="15315" xr:uid="{00000000-0005-0000-0000-0000A13B0000}"/>
    <cellStyle name="Percent 15 2" xfId="15316" xr:uid="{00000000-0005-0000-0000-0000A23B0000}"/>
    <cellStyle name="Percent 15 2 2" xfId="15317" xr:uid="{00000000-0005-0000-0000-0000A33B0000}"/>
    <cellStyle name="Percent 15 2 2 2" xfId="15318" xr:uid="{00000000-0005-0000-0000-0000A43B0000}"/>
    <cellStyle name="Percent 15 2 2 2 2" xfId="15319" xr:uid="{00000000-0005-0000-0000-0000A53B0000}"/>
    <cellStyle name="Percent 15 2 2 3" xfId="15320" xr:uid="{00000000-0005-0000-0000-0000A63B0000}"/>
    <cellStyle name="Percent 15 2 3" xfId="15321" xr:uid="{00000000-0005-0000-0000-0000A73B0000}"/>
    <cellStyle name="Percent 15 2 3 2" xfId="15322" xr:uid="{00000000-0005-0000-0000-0000A83B0000}"/>
    <cellStyle name="Percent 15 2 4" xfId="15323" xr:uid="{00000000-0005-0000-0000-0000A93B0000}"/>
    <cellStyle name="Percent 15 3" xfId="15324" xr:uid="{00000000-0005-0000-0000-0000AA3B0000}"/>
    <cellStyle name="Percent 15 3 2" xfId="15325" xr:uid="{00000000-0005-0000-0000-0000AB3B0000}"/>
    <cellStyle name="Percent 15 3 2 2" xfId="15326" xr:uid="{00000000-0005-0000-0000-0000AC3B0000}"/>
    <cellStyle name="Percent 15 3 3" xfId="15327" xr:uid="{00000000-0005-0000-0000-0000AD3B0000}"/>
    <cellStyle name="Percent 15 4" xfId="15328" xr:uid="{00000000-0005-0000-0000-0000AE3B0000}"/>
    <cellStyle name="Percent 15 4 2" xfId="15329" xr:uid="{00000000-0005-0000-0000-0000AF3B0000}"/>
    <cellStyle name="Percent 15 5" xfId="15330" xr:uid="{00000000-0005-0000-0000-0000B03B0000}"/>
    <cellStyle name="Percent 15 6" xfId="15331" xr:uid="{00000000-0005-0000-0000-0000B13B0000}"/>
    <cellStyle name="Percent 150" xfId="15332" xr:uid="{00000000-0005-0000-0000-0000B23B0000}"/>
    <cellStyle name="Percent 151" xfId="15333" xr:uid="{00000000-0005-0000-0000-0000B33B0000}"/>
    <cellStyle name="Percent 152" xfId="15334" xr:uid="{00000000-0005-0000-0000-0000B43B0000}"/>
    <cellStyle name="Percent 153" xfId="15335" xr:uid="{00000000-0005-0000-0000-0000B53B0000}"/>
    <cellStyle name="Percent 154" xfId="15336" xr:uid="{00000000-0005-0000-0000-0000B63B0000}"/>
    <cellStyle name="Percent 155" xfId="15337" xr:uid="{00000000-0005-0000-0000-0000B73B0000}"/>
    <cellStyle name="Percent 156" xfId="15338" xr:uid="{00000000-0005-0000-0000-0000B83B0000}"/>
    <cellStyle name="Percent 157" xfId="15339" xr:uid="{00000000-0005-0000-0000-0000B93B0000}"/>
    <cellStyle name="Percent 158" xfId="15340" xr:uid="{00000000-0005-0000-0000-0000BA3B0000}"/>
    <cellStyle name="Percent 159" xfId="15341" xr:uid="{00000000-0005-0000-0000-0000BB3B0000}"/>
    <cellStyle name="Percent 16" xfId="15342" xr:uid="{00000000-0005-0000-0000-0000BC3B0000}"/>
    <cellStyle name="Percent 16 2" xfId="15343" xr:uid="{00000000-0005-0000-0000-0000BD3B0000}"/>
    <cellStyle name="Percent 16 2 2" xfId="15344" xr:uid="{00000000-0005-0000-0000-0000BE3B0000}"/>
    <cellStyle name="Percent 16 2 2 2" xfId="15345" xr:uid="{00000000-0005-0000-0000-0000BF3B0000}"/>
    <cellStyle name="Percent 16 2 2 2 2" xfId="15346" xr:uid="{00000000-0005-0000-0000-0000C03B0000}"/>
    <cellStyle name="Percent 16 2 2 3" xfId="15347" xr:uid="{00000000-0005-0000-0000-0000C13B0000}"/>
    <cellStyle name="Percent 16 2 3" xfId="15348" xr:uid="{00000000-0005-0000-0000-0000C23B0000}"/>
    <cellStyle name="Percent 16 2 3 2" xfId="15349" xr:uid="{00000000-0005-0000-0000-0000C33B0000}"/>
    <cellStyle name="Percent 16 2 4" xfId="15350" xr:uid="{00000000-0005-0000-0000-0000C43B0000}"/>
    <cellStyle name="Percent 16 3" xfId="15351" xr:uid="{00000000-0005-0000-0000-0000C53B0000}"/>
    <cellStyle name="Percent 16 3 2" xfId="15352" xr:uid="{00000000-0005-0000-0000-0000C63B0000}"/>
    <cellStyle name="Percent 16 3 2 2" xfId="15353" xr:uid="{00000000-0005-0000-0000-0000C73B0000}"/>
    <cellStyle name="Percent 16 3 3" xfId="15354" xr:uid="{00000000-0005-0000-0000-0000C83B0000}"/>
    <cellStyle name="Percent 16 4" xfId="15355" xr:uid="{00000000-0005-0000-0000-0000C93B0000}"/>
    <cellStyle name="Percent 16 4 2" xfId="15356" xr:uid="{00000000-0005-0000-0000-0000CA3B0000}"/>
    <cellStyle name="Percent 16 5" xfId="15357" xr:uid="{00000000-0005-0000-0000-0000CB3B0000}"/>
    <cellStyle name="Percent 16 6" xfId="15358" xr:uid="{00000000-0005-0000-0000-0000CC3B0000}"/>
    <cellStyle name="Percent 160" xfId="15359" xr:uid="{00000000-0005-0000-0000-0000CD3B0000}"/>
    <cellStyle name="Percent 161" xfId="15360" xr:uid="{00000000-0005-0000-0000-0000CE3B0000}"/>
    <cellStyle name="Percent 162" xfId="15361" xr:uid="{00000000-0005-0000-0000-0000CF3B0000}"/>
    <cellStyle name="Percent 163" xfId="15362" xr:uid="{00000000-0005-0000-0000-0000D03B0000}"/>
    <cellStyle name="Percent 164" xfId="15363" xr:uid="{00000000-0005-0000-0000-0000D13B0000}"/>
    <cellStyle name="Percent 165" xfId="15364" xr:uid="{00000000-0005-0000-0000-0000D23B0000}"/>
    <cellStyle name="Percent 166" xfId="15365" xr:uid="{00000000-0005-0000-0000-0000D33B0000}"/>
    <cellStyle name="Percent 167" xfId="15366" xr:uid="{00000000-0005-0000-0000-0000D43B0000}"/>
    <cellStyle name="Percent 168" xfId="15367" xr:uid="{00000000-0005-0000-0000-0000D53B0000}"/>
    <cellStyle name="Percent 169" xfId="15368" xr:uid="{00000000-0005-0000-0000-0000D63B0000}"/>
    <cellStyle name="Percent 17" xfId="15369" xr:uid="{00000000-0005-0000-0000-0000D73B0000}"/>
    <cellStyle name="Percent 17 2" xfId="15370" xr:uid="{00000000-0005-0000-0000-0000D83B0000}"/>
    <cellStyle name="Percent 17 2 2" xfId="15371" xr:uid="{00000000-0005-0000-0000-0000D93B0000}"/>
    <cellStyle name="Percent 17 2 2 2" xfId="15372" xr:uid="{00000000-0005-0000-0000-0000DA3B0000}"/>
    <cellStyle name="Percent 17 2 2 2 2" xfId="15373" xr:uid="{00000000-0005-0000-0000-0000DB3B0000}"/>
    <cellStyle name="Percent 17 2 2 3" xfId="15374" xr:uid="{00000000-0005-0000-0000-0000DC3B0000}"/>
    <cellStyle name="Percent 17 2 3" xfId="15375" xr:uid="{00000000-0005-0000-0000-0000DD3B0000}"/>
    <cellStyle name="Percent 17 2 3 2" xfId="15376" xr:uid="{00000000-0005-0000-0000-0000DE3B0000}"/>
    <cellStyle name="Percent 17 2 4" xfId="15377" xr:uid="{00000000-0005-0000-0000-0000DF3B0000}"/>
    <cellStyle name="Percent 17 3" xfId="15378" xr:uid="{00000000-0005-0000-0000-0000E03B0000}"/>
    <cellStyle name="Percent 17 3 2" xfId="15379" xr:uid="{00000000-0005-0000-0000-0000E13B0000}"/>
    <cellStyle name="Percent 17 3 2 2" xfId="15380" xr:uid="{00000000-0005-0000-0000-0000E23B0000}"/>
    <cellStyle name="Percent 17 3 3" xfId="15381" xr:uid="{00000000-0005-0000-0000-0000E33B0000}"/>
    <cellStyle name="Percent 17 4" xfId="15382" xr:uid="{00000000-0005-0000-0000-0000E43B0000}"/>
    <cellStyle name="Percent 17 4 2" xfId="15383" xr:uid="{00000000-0005-0000-0000-0000E53B0000}"/>
    <cellStyle name="Percent 17 5" xfId="15384" xr:uid="{00000000-0005-0000-0000-0000E63B0000}"/>
    <cellStyle name="Percent 17 6" xfId="15385" xr:uid="{00000000-0005-0000-0000-0000E73B0000}"/>
    <cellStyle name="Percent 170" xfId="15386" xr:uid="{00000000-0005-0000-0000-0000E83B0000}"/>
    <cellStyle name="Percent 171" xfId="15387" xr:uid="{00000000-0005-0000-0000-0000E93B0000}"/>
    <cellStyle name="Percent 172" xfId="15388" xr:uid="{00000000-0005-0000-0000-0000EA3B0000}"/>
    <cellStyle name="Percent 173" xfId="15389" xr:uid="{00000000-0005-0000-0000-0000EB3B0000}"/>
    <cellStyle name="Percent 174" xfId="15390" xr:uid="{00000000-0005-0000-0000-0000EC3B0000}"/>
    <cellStyle name="Percent 175" xfId="15391" xr:uid="{00000000-0005-0000-0000-0000ED3B0000}"/>
    <cellStyle name="Percent 176" xfId="15392" xr:uid="{00000000-0005-0000-0000-0000EE3B0000}"/>
    <cellStyle name="Percent 177" xfId="15393" xr:uid="{00000000-0005-0000-0000-0000EF3B0000}"/>
    <cellStyle name="Percent 178" xfId="15394" xr:uid="{00000000-0005-0000-0000-0000F03B0000}"/>
    <cellStyle name="Percent 179" xfId="15395" xr:uid="{00000000-0005-0000-0000-0000F13B0000}"/>
    <cellStyle name="Percent 18" xfId="15396" xr:uid="{00000000-0005-0000-0000-0000F23B0000}"/>
    <cellStyle name="Percent 18 2" xfId="15397" xr:uid="{00000000-0005-0000-0000-0000F33B0000}"/>
    <cellStyle name="Percent 180" xfId="15398" xr:uid="{00000000-0005-0000-0000-0000F43B0000}"/>
    <cellStyle name="Percent 181" xfId="15399" xr:uid="{00000000-0005-0000-0000-0000F53B0000}"/>
    <cellStyle name="Percent 182" xfId="15400" xr:uid="{00000000-0005-0000-0000-0000F63B0000}"/>
    <cellStyle name="Percent 183" xfId="15401" xr:uid="{00000000-0005-0000-0000-0000F73B0000}"/>
    <cellStyle name="Percent 184" xfId="15402" xr:uid="{00000000-0005-0000-0000-0000F83B0000}"/>
    <cellStyle name="Percent 185" xfId="15403" xr:uid="{00000000-0005-0000-0000-0000F93B0000}"/>
    <cellStyle name="Percent 186" xfId="15404" xr:uid="{00000000-0005-0000-0000-0000FA3B0000}"/>
    <cellStyle name="Percent 187" xfId="15405" xr:uid="{00000000-0005-0000-0000-0000FB3B0000}"/>
    <cellStyle name="Percent 188" xfId="15406" xr:uid="{00000000-0005-0000-0000-0000FC3B0000}"/>
    <cellStyle name="Percent 189" xfId="15407" xr:uid="{00000000-0005-0000-0000-0000FD3B0000}"/>
    <cellStyle name="Percent 19" xfId="15408" xr:uid="{00000000-0005-0000-0000-0000FE3B0000}"/>
    <cellStyle name="Percent 19 2" xfId="15409" xr:uid="{00000000-0005-0000-0000-0000FF3B0000}"/>
    <cellStyle name="Percent 19 2 2" xfId="15410" xr:uid="{00000000-0005-0000-0000-0000003C0000}"/>
    <cellStyle name="Percent 19 3" xfId="15411" xr:uid="{00000000-0005-0000-0000-0000013C0000}"/>
    <cellStyle name="Percent 19 3 2" xfId="15412" xr:uid="{00000000-0005-0000-0000-0000023C0000}"/>
    <cellStyle name="Percent 19 4" xfId="15413" xr:uid="{00000000-0005-0000-0000-0000033C0000}"/>
    <cellStyle name="Percent 190" xfId="15414" xr:uid="{00000000-0005-0000-0000-0000043C0000}"/>
    <cellStyle name="Percent 191" xfId="15415" xr:uid="{00000000-0005-0000-0000-0000053C0000}"/>
    <cellStyle name="Percent 192" xfId="15416" xr:uid="{00000000-0005-0000-0000-0000063C0000}"/>
    <cellStyle name="Percent 193" xfId="15417" xr:uid="{00000000-0005-0000-0000-0000073C0000}"/>
    <cellStyle name="Percent 194" xfId="15418" xr:uid="{00000000-0005-0000-0000-0000083C0000}"/>
    <cellStyle name="Percent 195" xfId="15419" xr:uid="{00000000-0005-0000-0000-0000093C0000}"/>
    <cellStyle name="Percent 196" xfId="15420" xr:uid="{00000000-0005-0000-0000-00000A3C0000}"/>
    <cellStyle name="Percent 197" xfId="16886" xr:uid="{00000000-0005-0000-0000-00000B3C0000}"/>
    <cellStyle name="Percent 2" xfId="13" xr:uid="{00000000-0005-0000-0000-00000C3C0000}"/>
    <cellStyle name="Percent 2 10" xfId="15421" xr:uid="{00000000-0005-0000-0000-00000D3C0000}"/>
    <cellStyle name="Percent 2 11" xfId="15422" xr:uid="{00000000-0005-0000-0000-00000E3C0000}"/>
    <cellStyle name="Percent 2 12" xfId="15423" xr:uid="{00000000-0005-0000-0000-00000F3C0000}"/>
    <cellStyle name="Percent 2 13" xfId="15424" xr:uid="{00000000-0005-0000-0000-0000103C0000}"/>
    <cellStyle name="Percent 2 14" xfId="15425" xr:uid="{00000000-0005-0000-0000-0000113C0000}"/>
    <cellStyle name="Percent 2 15" xfId="15426" xr:uid="{00000000-0005-0000-0000-0000123C0000}"/>
    <cellStyle name="Percent 2 16" xfId="15427" xr:uid="{00000000-0005-0000-0000-0000133C0000}"/>
    <cellStyle name="Percent 2 17" xfId="15428" xr:uid="{00000000-0005-0000-0000-0000143C0000}"/>
    <cellStyle name="Percent 2 18" xfId="15429" xr:uid="{00000000-0005-0000-0000-0000153C0000}"/>
    <cellStyle name="Percent 2 19" xfId="15430" xr:uid="{00000000-0005-0000-0000-0000163C0000}"/>
    <cellStyle name="Percent 2 2" xfId="26" xr:uid="{00000000-0005-0000-0000-0000173C0000}"/>
    <cellStyle name="Percent 2 2 10" xfId="15431" xr:uid="{00000000-0005-0000-0000-0000183C0000}"/>
    <cellStyle name="Percent 2 2 11" xfId="3133" xr:uid="{00000000-0005-0000-0000-0000193C0000}"/>
    <cellStyle name="Percent 2 2 2" xfId="31" xr:uid="{00000000-0005-0000-0000-00001A3C0000}"/>
    <cellStyle name="Percent 2 2 2 2" xfId="15432" xr:uid="{00000000-0005-0000-0000-00001B3C0000}"/>
    <cellStyle name="Percent 2 2 2 2 2" xfId="15433" xr:uid="{00000000-0005-0000-0000-00001C3C0000}"/>
    <cellStyle name="Percent 2 2 2 2 3" xfId="15434" xr:uid="{00000000-0005-0000-0000-00001D3C0000}"/>
    <cellStyle name="Percent 2 2 2 3" xfId="15435" xr:uid="{00000000-0005-0000-0000-00001E3C0000}"/>
    <cellStyle name="Percent 2 2 2 3 2" xfId="15436" xr:uid="{00000000-0005-0000-0000-00001F3C0000}"/>
    <cellStyle name="Percent 2 2 2 4" xfId="15437" xr:uid="{00000000-0005-0000-0000-0000203C0000}"/>
    <cellStyle name="Percent 2 2 2 5" xfId="15438" xr:uid="{00000000-0005-0000-0000-0000213C0000}"/>
    <cellStyle name="Percent 2 2 2 6" xfId="15439" xr:uid="{00000000-0005-0000-0000-0000223C0000}"/>
    <cellStyle name="Percent 2 2 2 7" xfId="15440" xr:uid="{00000000-0005-0000-0000-0000233C0000}"/>
    <cellStyle name="Percent 2 2 2 8" xfId="15441" xr:uid="{00000000-0005-0000-0000-0000243C0000}"/>
    <cellStyle name="Percent 2 2 2 9" xfId="15442" xr:uid="{00000000-0005-0000-0000-0000253C0000}"/>
    <cellStyle name="Percent 2 2 3" xfId="15443" xr:uid="{00000000-0005-0000-0000-0000263C0000}"/>
    <cellStyle name="Percent 2 2 3 2" xfId="15444" xr:uid="{00000000-0005-0000-0000-0000273C0000}"/>
    <cellStyle name="Percent 2 2 3 3" xfId="15445" xr:uid="{00000000-0005-0000-0000-0000283C0000}"/>
    <cellStyle name="Percent 2 2 3 4" xfId="15446" xr:uid="{00000000-0005-0000-0000-0000293C0000}"/>
    <cellStyle name="Percent 2 2 4" xfId="15447" xr:uid="{00000000-0005-0000-0000-00002A3C0000}"/>
    <cellStyle name="Percent 2 2 4 2" xfId="15448" xr:uid="{00000000-0005-0000-0000-00002B3C0000}"/>
    <cellStyle name="Percent 2 2 4 2 2" xfId="15449" xr:uid="{00000000-0005-0000-0000-00002C3C0000}"/>
    <cellStyle name="Percent 2 2 4 2 3" xfId="15450" xr:uid="{00000000-0005-0000-0000-00002D3C0000}"/>
    <cellStyle name="Percent 2 2 4 3" xfId="15451" xr:uid="{00000000-0005-0000-0000-00002E3C0000}"/>
    <cellStyle name="Percent 2 2 4 4" xfId="15452" xr:uid="{00000000-0005-0000-0000-00002F3C0000}"/>
    <cellStyle name="Percent 2 2 4 5" xfId="15453" xr:uid="{00000000-0005-0000-0000-0000303C0000}"/>
    <cellStyle name="Percent 2 2 4 6" xfId="15454" xr:uid="{00000000-0005-0000-0000-0000313C0000}"/>
    <cellStyle name="Percent 2 2 4 7" xfId="15455" xr:uid="{00000000-0005-0000-0000-0000323C0000}"/>
    <cellStyle name="Percent 2 2 5" xfId="15456" xr:uid="{00000000-0005-0000-0000-0000333C0000}"/>
    <cellStyle name="Percent 2 2 5 2" xfId="15457" xr:uid="{00000000-0005-0000-0000-0000343C0000}"/>
    <cellStyle name="Percent 2 2 5 3" xfId="15458" xr:uid="{00000000-0005-0000-0000-0000353C0000}"/>
    <cellStyle name="Percent 2 2 6" xfId="15459" xr:uid="{00000000-0005-0000-0000-0000363C0000}"/>
    <cellStyle name="Percent 2 2 7" xfId="15460" xr:uid="{00000000-0005-0000-0000-0000373C0000}"/>
    <cellStyle name="Percent 2 2 8" xfId="15461" xr:uid="{00000000-0005-0000-0000-0000383C0000}"/>
    <cellStyle name="Percent 2 2 9" xfId="15462" xr:uid="{00000000-0005-0000-0000-0000393C0000}"/>
    <cellStyle name="Percent 2 20" xfId="15463" xr:uid="{00000000-0005-0000-0000-00003A3C0000}"/>
    <cellStyle name="Percent 2 21" xfId="15464" xr:uid="{00000000-0005-0000-0000-00003B3C0000}"/>
    <cellStyle name="Percent 2 22" xfId="15465" xr:uid="{00000000-0005-0000-0000-00003C3C0000}"/>
    <cellStyle name="Percent 2 23" xfId="15466" xr:uid="{00000000-0005-0000-0000-00003D3C0000}"/>
    <cellStyle name="Percent 2 24" xfId="15467" xr:uid="{00000000-0005-0000-0000-00003E3C0000}"/>
    <cellStyle name="Percent 2 25" xfId="15468" xr:uid="{00000000-0005-0000-0000-00003F3C0000}"/>
    <cellStyle name="Percent 2 26" xfId="15469" xr:uid="{00000000-0005-0000-0000-0000403C0000}"/>
    <cellStyle name="Percent 2 27" xfId="3132" xr:uid="{00000000-0005-0000-0000-0000413C0000}"/>
    <cellStyle name="Percent 2 3" xfId="34" xr:uid="{00000000-0005-0000-0000-0000423C0000}"/>
    <cellStyle name="Percent 2 3 2" xfId="15470" xr:uid="{00000000-0005-0000-0000-0000433C0000}"/>
    <cellStyle name="Percent 2 3 3" xfId="3134" xr:uid="{00000000-0005-0000-0000-0000443C0000}"/>
    <cellStyle name="Percent 2 4" xfId="15471" xr:uid="{00000000-0005-0000-0000-0000453C0000}"/>
    <cellStyle name="Percent 2 4 2" xfId="15472" xr:uid="{00000000-0005-0000-0000-0000463C0000}"/>
    <cellStyle name="Percent 2 5" xfId="15473" xr:uid="{00000000-0005-0000-0000-0000473C0000}"/>
    <cellStyle name="Percent 2 6" xfId="15474" xr:uid="{00000000-0005-0000-0000-0000483C0000}"/>
    <cellStyle name="Percent 2 7" xfId="15475" xr:uid="{00000000-0005-0000-0000-0000493C0000}"/>
    <cellStyle name="Percent 2 7 2" xfId="15476" xr:uid="{00000000-0005-0000-0000-00004A3C0000}"/>
    <cellStyle name="Percent 2 8" xfId="15477" xr:uid="{00000000-0005-0000-0000-00004B3C0000}"/>
    <cellStyle name="Percent 2 9" xfId="15478" xr:uid="{00000000-0005-0000-0000-00004C3C0000}"/>
    <cellStyle name="Percent 20" xfId="15479" xr:uid="{00000000-0005-0000-0000-00004D3C0000}"/>
    <cellStyle name="Percent 20 2" xfId="15480" xr:uid="{00000000-0005-0000-0000-00004E3C0000}"/>
    <cellStyle name="Percent 20 2 2" xfId="15481" xr:uid="{00000000-0005-0000-0000-00004F3C0000}"/>
    <cellStyle name="Percent 20 3" xfId="15482" xr:uid="{00000000-0005-0000-0000-0000503C0000}"/>
    <cellStyle name="Percent 20 3 2" xfId="15483" xr:uid="{00000000-0005-0000-0000-0000513C0000}"/>
    <cellStyle name="Percent 20 4" xfId="15484" xr:uid="{00000000-0005-0000-0000-0000523C0000}"/>
    <cellStyle name="Percent 21" xfId="15485" xr:uid="{00000000-0005-0000-0000-0000533C0000}"/>
    <cellStyle name="Percent 21 2" xfId="15486" xr:uid="{00000000-0005-0000-0000-0000543C0000}"/>
    <cellStyle name="Percent 21 2 2" xfId="15487" xr:uid="{00000000-0005-0000-0000-0000553C0000}"/>
    <cellStyle name="Percent 21 3" xfId="15488" xr:uid="{00000000-0005-0000-0000-0000563C0000}"/>
    <cellStyle name="Percent 21 4" xfId="15489" xr:uid="{00000000-0005-0000-0000-0000573C0000}"/>
    <cellStyle name="Percent 22" xfId="15490" xr:uid="{00000000-0005-0000-0000-0000583C0000}"/>
    <cellStyle name="Percent 22 2" xfId="15491" xr:uid="{00000000-0005-0000-0000-0000593C0000}"/>
    <cellStyle name="Percent 22 2 2" xfId="15492" xr:uid="{00000000-0005-0000-0000-00005A3C0000}"/>
    <cellStyle name="Percent 22 3" xfId="15493" xr:uid="{00000000-0005-0000-0000-00005B3C0000}"/>
    <cellStyle name="Percent 23" xfId="15494" xr:uid="{00000000-0005-0000-0000-00005C3C0000}"/>
    <cellStyle name="Percent 23 2" xfId="15495" xr:uid="{00000000-0005-0000-0000-00005D3C0000}"/>
    <cellStyle name="Percent 23 2 2" xfId="15496" xr:uid="{00000000-0005-0000-0000-00005E3C0000}"/>
    <cellStyle name="Percent 24" xfId="15497" xr:uid="{00000000-0005-0000-0000-00005F3C0000}"/>
    <cellStyle name="Percent 24 2" xfId="15498" xr:uid="{00000000-0005-0000-0000-0000603C0000}"/>
    <cellStyle name="Percent 24 2 2" xfId="15499" xr:uid="{00000000-0005-0000-0000-0000613C0000}"/>
    <cellStyle name="Percent 24 3" xfId="15500" xr:uid="{00000000-0005-0000-0000-0000623C0000}"/>
    <cellStyle name="Percent 25" xfId="15501" xr:uid="{00000000-0005-0000-0000-0000633C0000}"/>
    <cellStyle name="Percent 25 2" xfId="15502" xr:uid="{00000000-0005-0000-0000-0000643C0000}"/>
    <cellStyle name="Percent 25 2 2" xfId="15503" xr:uid="{00000000-0005-0000-0000-0000653C0000}"/>
    <cellStyle name="Percent 25 3" xfId="15504" xr:uid="{00000000-0005-0000-0000-0000663C0000}"/>
    <cellStyle name="Percent 25 4" xfId="15505" xr:uid="{00000000-0005-0000-0000-0000673C0000}"/>
    <cellStyle name="Percent 26" xfId="15506" xr:uid="{00000000-0005-0000-0000-0000683C0000}"/>
    <cellStyle name="Percent 26 2" xfId="15507" xr:uid="{00000000-0005-0000-0000-0000693C0000}"/>
    <cellStyle name="Percent 26 2 2" xfId="15508" xr:uid="{00000000-0005-0000-0000-00006A3C0000}"/>
    <cellStyle name="Percent 26 3" xfId="15509" xr:uid="{00000000-0005-0000-0000-00006B3C0000}"/>
    <cellStyle name="Percent 27" xfId="15510" xr:uid="{00000000-0005-0000-0000-00006C3C0000}"/>
    <cellStyle name="Percent 27 2" xfId="15511" xr:uid="{00000000-0005-0000-0000-00006D3C0000}"/>
    <cellStyle name="Percent 27 2 2" xfId="15512" xr:uid="{00000000-0005-0000-0000-00006E3C0000}"/>
    <cellStyle name="Percent 27 3" xfId="15513" xr:uid="{00000000-0005-0000-0000-00006F3C0000}"/>
    <cellStyle name="Percent 28" xfId="15514" xr:uid="{00000000-0005-0000-0000-0000703C0000}"/>
    <cellStyle name="Percent 28 2" xfId="15515" xr:uid="{00000000-0005-0000-0000-0000713C0000}"/>
    <cellStyle name="Percent 29" xfId="15516" xr:uid="{00000000-0005-0000-0000-0000723C0000}"/>
    <cellStyle name="Percent 29 2" xfId="15517" xr:uid="{00000000-0005-0000-0000-0000733C0000}"/>
    <cellStyle name="Percent 3" xfId="30" xr:uid="{00000000-0005-0000-0000-0000743C0000}"/>
    <cellStyle name="Percent 3 10" xfId="3135" xr:uid="{00000000-0005-0000-0000-0000753C0000}"/>
    <cellStyle name="Percent 3 2" xfId="3136" xr:uid="{00000000-0005-0000-0000-0000763C0000}"/>
    <cellStyle name="Percent 3 2 2" xfId="3137" xr:uid="{00000000-0005-0000-0000-0000773C0000}"/>
    <cellStyle name="Percent 3 3" xfId="3138" xr:uid="{00000000-0005-0000-0000-0000783C0000}"/>
    <cellStyle name="Percent 3 3 2" xfId="3139" xr:uid="{00000000-0005-0000-0000-0000793C0000}"/>
    <cellStyle name="Percent 3 3 2 2" xfId="15518" xr:uid="{00000000-0005-0000-0000-00007A3C0000}"/>
    <cellStyle name="Percent 3 3 3" xfId="15519" xr:uid="{00000000-0005-0000-0000-00007B3C0000}"/>
    <cellStyle name="Percent 3 3 4" xfId="15520" xr:uid="{00000000-0005-0000-0000-00007C3C0000}"/>
    <cellStyle name="Percent 3 4" xfId="3140" xr:uid="{00000000-0005-0000-0000-00007D3C0000}"/>
    <cellStyle name="Percent 3 4 2" xfId="3141" xr:uid="{00000000-0005-0000-0000-00007E3C0000}"/>
    <cellStyle name="Percent 3 4 3" xfId="15521" xr:uid="{00000000-0005-0000-0000-00007F3C0000}"/>
    <cellStyle name="Percent 3 5" xfId="3142" xr:uid="{00000000-0005-0000-0000-0000803C0000}"/>
    <cellStyle name="Percent 3 5 2" xfId="3143" xr:uid="{00000000-0005-0000-0000-0000813C0000}"/>
    <cellStyle name="Percent 3 5 3" xfId="15522" xr:uid="{00000000-0005-0000-0000-0000823C0000}"/>
    <cellStyle name="Percent 3 6" xfId="3144" xr:uid="{00000000-0005-0000-0000-0000833C0000}"/>
    <cellStyle name="Percent 3 7" xfId="15523" xr:uid="{00000000-0005-0000-0000-0000843C0000}"/>
    <cellStyle name="Percent 3 8" xfId="15524" xr:uid="{00000000-0005-0000-0000-0000853C0000}"/>
    <cellStyle name="Percent 3 9" xfId="15525" xr:uid="{00000000-0005-0000-0000-0000863C0000}"/>
    <cellStyle name="Percent 30" xfId="15526" xr:uid="{00000000-0005-0000-0000-0000873C0000}"/>
    <cellStyle name="Percent 30 2" xfId="15527" xr:uid="{00000000-0005-0000-0000-0000883C0000}"/>
    <cellStyle name="Percent 31" xfId="15528" xr:uid="{00000000-0005-0000-0000-0000893C0000}"/>
    <cellStyle name="Percent 32" xfId="15529" xr:uid="{00000000-0005-0000-0000-00008A3C0000}"/>
    <cellStyle name="Percent 33" xfId="15530" xr:uid="{00000000-0005-0000-0000-00008B3C0000}"/>
    <cellStyle name="Percent 34" xfId="15531" xr:uid="{00000000-0005-0000-0000-00008C3C0000}"/>
    <cellStyle name="Percent 35" xfId="15532" xr:uid="{00000000-0005-0000-0000-00008D3C0000}"/>
    <cellStyle name="Percent 36" xfId="15533" xr:uid="{00000000-0005-0000-0000-00008E3C0000}"/>
    <cellStyle name="Percent 37" xfId="15534" xr:uid="{00000000-0005-0000-0000-00008F3C0000}"/>
    <cellStyle name="Percent 37 2" xfId="15535" xr:uid="{00000000-0005-0000-0000-0000903C0000}"/>
    <cellStyle name="Percent 37 3" xfId="15536" xr:uid="{00000000-0005-0000-0000-0000913C0000}"/>
    <cellStyle name="Percent 38" xfId="15537" xr:uid="{00000000-0005-0000-0000-0000923C0000}"/>
    <cellStyle name="Percent 38 2" xfId="15538" xr:uid="{00000000-0005-0000-0000-0000933C0000}"/>
    <cellStyle name="Percent 38 3" xfId="15539" xr:uid="{00000000-0005-0000-0000-0000943C0000}"/>
    <cellStyle name="Percent 39" xfId="15540" xr:uid="{00000000-0005-0000-0000-0000953C0000}"/>
    <cellStyle name="Percent 39 2" xfId="15541" xr:uid="{00000000-0005-0000-0000-0000963C0000}"/>
    <cellStyle name="Percent 39 3" xfId="15542" xr:uid="{00000000-0005-0000-0000-0000973C0000}"/>
    <cellStyle name="Percent 4" xfId="3145" xr:uid="{00000000-0005-0000-0000-0000983C0000}"/>
    <cellStyle name="Percent 4 2" xfId="15543" xr:uid="{00000000-0005-0000-0000-0000993C0000}"/>
    <cellStyle name="Percent 4 2 2" xfId="15544" xr:uid="{00000000-0005-0000-0000-00009A3C0000}"/>
    <cellStyle name="Percent 4 2 2 2" xfId="15545" xr:uid="{00000000-0005-0000-0000-00009B3C0000}"/>
    <cellStyle name="Percent 4 2 2 2 2" xfId="15546" xr:uid="{00000000-0005-0000-0000-00009C3C0000}"/>
    <cellStyle name="Percent 4 2 2 2 2 2" xfId="15547" xr:uid="{00000000-0005-0000-0000-00009D3C0000}"/>
    <cellStyle name="Percent 4 2 2 2 3" xfId="15548" xr:uid="{00000000-0005-0000-0000-00009E3C0000}"/>
    <cellStyle name="Percent 4 2 2 3" xfId="15549" xr:uid="{00000000-0005-0000-0000-00009F3C0000}"/>
    <cellStyle name="Percent 4 2 2 3 2" xfId="15550" xr:uid="{00000000-0005-0000-0000-0000A03C0000}"/>
    <cellStyle name="Percent 4 2 2 4" xfId="15551" xr:uid="{00000000-0005-0000-0000-0000A13C0000}"/>
    <cellStyle name="Percent 4 2 3" xfId="15552" xr:uid="{00000000-0005-0000-0000-0000A23C0000}"/>
    <cellStyle name="Percent 4 2 3 2" xfId="15553" xr:uid="{00000000-0005-0000-0000-0000A33C0000}"/>
    <cellStyle name="Percent 4 2 3 2 2" xfId="15554" xr:uid="{00000000-0005-0000-0000-0000A43C0000}"/>
    <cellStyle name="Percent 4 2 3 3" xfId="15555" xr:uid="{00000000-0005-0000-0000-0000A53C0000}"/>
    <cellStyle name="Percent 4 2 4" xfId="15556" xr:uid="{00000000-0005-0000-0000-0000A63C0000}"/>
    <cellStyle name="Percent 4 2 4 2" xfId="15557" xr:uid="{00000000-0005-0000-0000-0000A73C0000}"/>
    <cellStyle name="Percent 4 2 5" xfId="15558" xr:uid="{00000000-0005-0000-0000-0000A83C0000}"/>
    <cellStyle name="Percent 4 3" xfId="15559" xr:uid="{00000000-0005-0000-0000-0000A93C0000}"/>
    <cellStyle name="Percent 4 3 2" xfId="15560" xr:uid="{00000000-0005-0000-0000-0000AA3C0000}"/>
    <cellStyle name="Percent 4 3 2 2" xfId="15561" xr:uid="{00000000-0005-0000-0000-0000AB3C0000}"/>
    <cellStyle name="Percent 4 3 2 2 2" xfId="15562" xr:uid="{00000000-0005-0000-0000-0000AC3C0000}"/>
    <cellStyle name="Percent 4 3 2 3" xfId="15563" xr:uid="{00000000-0005-0000-0000-0000AD3C0000}"/>
    <cellStyle name="Percent 4 3 3" xfId="15564" xr:uid="{00000000-0005-0000-0000-0000AE3C0000}"/>
    <cellStyle name="Percent 4 3 3 2" xfId="15565" xr:uid="{00000000-0005-0000-0000-0000AF3C0000}"/>
    <cellStyle name="Percent 4 3 4" xfId="15566" xr:uid="{00000000-0005-0000-0000-0000B03C0000}"/>
    <cellStyle name="Percent 4 4" xfId="15567" xr:uid="{00000000-0005-0000-0000-0000B13C0000}"/>
    <cellStyle name="Percent 4 4 2" xfId="15568" xr:uid="{00000000-0005-0000-0000-0000B23C0000}"/>
    <cellStyle name="Percent 4 4 2 2" xfId="15569" xr:uid="{00000000-0005-0000-0000-0000B33C0000}"/>
    <cellStyle name="Percent 4 4 3" xfId="15570" xr:uid="{00000000-0005-0000-0000-0000B43C0000}"/>
    <cellStyle name="Percent 4 5" xfId="15571" xr:uid="{00000000-0005-0000-0000-0000B53C0000}"/>
    <cellStyle name="Percent 4 5 2" xfId="15572" xr:uid="{00000000-0005-0000-0000-0000B63C0000}"/>
    <cellStyle name="Percent 4 6" xfId="15573" xr:uid="{00000000-0005-0000-0000-0000B73C0000}"/>
    <cellStyle name="Percent 40" xfId="15574" xr:uid="{00000000-0005-0000-0000-0000B83C0000}"/>
    <cellStyle name="Percent 40 2" xfId="15575" xr:uid="{00000000-0005-0000-0000-0000B93C0000}"/>
    <cellStyle name="Percent 41" xfId="15576" xr:uid="{00000000-0005-0000-0000-0000BA3C0000}"/>
    <cellStyle name="Percent 41 2" xfId="15577" xr:uid="{00000000-0005-0000-0000-0000BB3C0000}"/>
    <cellStyle name="Percent 42" xfId="15578" xr:uid="{00000000-0005-0000-0000-0000BC3C0000}"/>
    <cellStyle name="Percent 42 2" xfId="15579" xr:uid="{00000000-0005-0000-0000-0000BD3C0000}"/>
    <cellStyle name="Percent 43" xfId="15580" xr:uid="{00000000-0005-0000-0000-0000BE3C0000}"/>
    <cellStyle name="Percent 43 2" xfId="15581" xr:uid="{00000000-0005-0000-0000-0000BF3C0000}"/>
    <cellStyle name="Percent 44" xfId="15582" xr:uid="{00000000-0005-0000-0000-0000C03C0000}"/>
    <cellStyle name="Percent 44 2" xfId="15583" xr:uid="{00000000-0005-0000-0000-0000C13C0000}"/>
    <cellStyle name="Percent 45" xfId="15584" xr:uid="{00000000-0005-0000-0000-0000C23C0000}"/>
    <cellStyle name="Percent 46" xfId="15585" xr:uid="{00000000-0005-0000-0000-0000C33C0000}"/>
    <cellStyle name="Percent 47" xfId="15586" xr:uid="{00000000-0005-0000-0000-0000C43C0000}"/>
    <cellStyle name="Percent 47 2" xfId="15587" xr:uid="{00000000-0005-0000-0000-0000C53C0000}"/>
    <cellStyle name="Percent 48" xfId="15588" xr:uid="{00000000-0005-0000-0000-0000C63C0000}"/>
    <cellStyle name="Percent 48 2" xfId="15589" xr:uid="{00000000-0005-0000-0000-0000C73C0000}"/>
    <cellStyle name="Percent 49" xfId="15590" xr:uid="{00000000-0005-0000-0000-0000C83C0000}"/>
    <cellStyle name="Percent 5" xfId="3146" xr:uid="{00000000-0005-0000-0000-0000C93C0000}"/>
    <cellStyle name="Percent 5 2" xfId="15591" xr:uid="{00000000-0005-0000-0000-0000CA3C0000}"/>
    <cellStyle name="Percent 5 2 2" xfId="15592" xr:uid="{00000000-0005-0000-0000-0000CB3C0000}"/>
    <cellStyle name="Percent 5 2 2 2" xfId="15593" xr:uid="{00000000-0005-0000-0000-0000CC3C0000}"/>
    <cellStyle name="Percent 5 2 2 3" xfId="15594" xr:uid="{00000000-0005-0000-0000-0000CD3C0000}"/>
    <cellStyle name="Percent 5 2 3" xfId="15595" xr:uid="{00000000-0005-0000-0000-0000CE3C0000}"/>
    <cellStyle name="Percent 5 2 4" xfId="15596" xr:uid="{00000000-0005-0000-0000-0000CF3C0000}"/>
    <cellStyle name="Percent 5 3" xfId="15597" xr:uid="{00000000-0005-0000-0000-0000D03C0000}"/>
    <cellStyle name="Percent 5 3 2" xfId="15598" xr:uid="{00000000-0005-0000-0000-0000D13C0000}"/>
    <cellStyle name="Percent 5 4" xfId="15599" xr:uid="{00000000-0005-0000-0000-0000D23C0000}"/>
    <cellStyle name="Percent 50" xfId="15600" xr:uid="{00000000-0005-0000-0000-0000D33C0000}"/>
    <cellStyle name="Percent 51" xfId="15601" xr:uid="{00000000-0005-0000-0000-0000D43C0000}"/>
    <cellStyle name="Percent 52" xfId="15602" xr:uid="{00000000-0005-0000-0000-0000D53C0000}"/>
    <cellStyle name="Percent 53" xfId="15603" xr:uid="{00000000-0005-0000-0000-0000D63C0000}"/>
    <cellStyle name="Percent 54" xfId="15604" xr:uid="{00000000-0005-0000-0000-0000D73C0000}"/>
    <cellStyle name="Percent 55" xfId="15605" xr:uid="{00000000-0005-0000-0000-0000D83C0000}"/>
    <cellStyle name="Percent 56" xfId="15606" xr:uid="{00000000-0005-0000-0000-0000D93C0000}"/>
    <cellStyle name="Percent 57" xfId="15607" xr:uid="{00000000-0005-0000-0000-0000DA3C0000}"/>
    <cellStyle name="Percent 58" xfId="15608" xr:uid="{00000000-0005-0000-0000-0000DB3C0000}"/>
    <cellStyle name="Percent 59" xfId="15609" xr:uid="{00000000-0005-0000-0000-0000DC3C0000}"/>
    <cellStyle name="Percent 6" xfId="3147" xr:uid="{00000000-0005-0000-0000-0000DD3C0000}"/>
    <cellStyle name="Percent 6 2" xfId="15610" xr:uid="{00000000-0005-0000-0000-0000DE3C0000}"/>
    <cellStyle name="Percent 6 2 2" xfId="15611" xr:uid="{00000000-0005-0000-0000-0000DF3C0000}"/>
    <cellStyle name="Percent 6 2 3" xfId="15612" xr:uid="{00000000-0005-0000-0000-0000E03C0000}"/>
    <cellStyle name="Percent 6 3" xfId="15613" xr:uid="{00000000-0005-0000-0000-0000E13C0000}"/>
    <cellStyle name="Percent 60" xfId="15614" xr:uid="{00000000-0005-0000-0000-0000E23C0000}"/>
    <cellStyle name="Percent 61" xfId="15615" xr:uid="{00000000-0005-0000-0000-0000E33C0000}"/>
    <cellStyle name="Percent 62" xfId="15616" xr:uid="{00000000-0005-0000-0000-0000E43C0000}"/>
    <cellStyle name="Percent 63" xfId="15617" xr:uid="{00000000-0005-0000-0000-0000E53C0000}"/>
    <cellStyle name="Percent 64" xfId="15618" xr:uid="{00000000-0005-0000-0000-0000E63C0000}"/>
    <cellStyle name="Percent 65" xfId="15619" xr:uid="{00000000-0005-0000-0000-0000E73C0000}"/>
    <cellStyle name="Percent 66" xfId="15620" xr:uid="{00000000-0005-0000-0000-0000E83C0000}"/>
    <cellStyle name="Percent 67" xfId="15621" xr:uid="{00000000-0005-0000-0000-0000E93C0000}"/>
    <cellStyle name="Percent 68" xfId="15622" xr:uid="{00000000-0005-0000-0000-0000EA3C0000}"/>
    <cellStyle name="Percent 69" xfId="15623" xr:uid="{00000000-0005-0000-0000-0000EB3C0000}"/>
    <cellStyle name="Percent 7" xfId="3148" xr:uid="{00000000-0005-0000-0000-0000EC3C0000}"/>
    <cellStyle name="Percent 7 2" xfId="15624" xr:uid="{00000000-0005-0000-0000-0000ED3C0000}"/>
    <cellStyle name="Percent 7 2 10" xfId="15625" xr:uid="{00000000-0005-0000-0000-0000EE3C0000}"/>
    <cellStyle name="Percent 7 2 2" xfId="15626" xr:uid="{00000000-0005-0000-0000-0000EF3C0000}"/>
    <cellStyle name="Percent 7 2 2 2" xfId="15627" xr:uid="{00000000-0005-0000-0000-0000F03C0000}"/>
    <cellStyle name="Percent 7 2 2 2 2" xfId="15628" xr:uid="{00000000-0005-0000-0000-0000F13C0000}"/>
    <cellStyle name="Percent 7 2 2 3" xfId="15629" xr:uid="{00000000-0005-0000-0000-0000F23C0000}"/>
    <cellStyle name="Percent 7 2 2 4" xfId="15630" xr:uid="{00000000-0005-0000-0000-0000F33C0000}"/>
    <cellStyle name="Percent 7 2 3" xfId="15631" xr:uid="{00000000-0005-0000-0000-0000F43C0000}"/>
    <cellStyle name="Percent 7 2 3 2" xfId="15632" xr:uid="{00000000-0005-0000-0000-0000F53C0000}"/>
    <cellStyle name="Percent 7 2 4" xfId="15633" xr:uid="{00000000-0005-0000-0000-0000F63C0000}"/>
    <cellStyle name="Percent 7 2 4 2" xfId="15634" xr:uid="{00000000-0005-0000-0000-0000F73C0000}"/>
    <cellStyle name="Percent 7 2 5" xfId="15635" xr:uid="{00000000-0005-0000-0000-0000F83C0000}"/>
    <cellStyle name="Percent 7 2 5 2" xfId="15636" xr:uid="{00000000-0005-0000-0000-0000F93C0000}"/>
    <cellStyle name="Percent 7 2 6" xfId="15637" xr:uid="{00000000-0005-0000-0000-0000FA3C0000}"/>
    <cellStyle name="Percent 7 2 7" xfId="15638" xr:uid="{00000000-0005-0000-0000-0000FB3C0000}"/>
    <cellStyle name="Percent 7 2 8" xfId="15639" xr:uid="{00000000-0005-0000-0000-0000FC3C0000}"/>
    <cellStyle name="Percent 7 2 9" xfId="15640" xr:uid="{00000000-0005-0000-0000-0000FD3C0000}"/>
    <cellStyle name="Percent 7 3" xfId="15641" xr:uid="{00000000-0005-0000-0000-0000FE3C0000}"/>
    <cellStyle name="Percent 7 3 2" xfId="15642" xr:uid="{00000000-0005-0000-0000-0000FF3C0000}"/>
    <cellStyle name="Percent 7 3 2 2" xfId="15643" xr:uid="{00000000-0005-0000-0000-0000003D0000}"/>
    <cellStyle name="Percent 7 3 3" xfId="15644" xr:uid="{00000000-0005-0000-0000-0000013D0000}"/>
    <cellStyle name="Percent 7 3 3 2" xfId="15645" xr:uid="{00000000-0005-0000-0000-0000023D0000}"/>
    <cellStyle name="Percent 7 3 4" xfId="15646" xr:uid="{00000000-0005-0000-0000-0000033D0000}"/>
    <cellStyle name="Percent 7 4" xfId="15647" xr:uid="{00000000-0005-0000-0000-0000043D0000}"/>
    <cellStyle name="Percent 7 4 2" xfId="15648" xr:uid="{00000000-0005-0000-0000-0000053D0000}"/>
    <cellStyle name="Percent 7 5" xfId="15649" xr:uid="{00000000-0005-0000-0000-0000063D0000}"/>
    <cellStyle name="Percent 7 6" xfId="15650" xr:uid="{00000000-0005-0000-0000-0000073D0000}"/>
    <cellStyle name="Percent 70" xfId="15651" xr:uid="{00000000-0005-0000-0000-0000083D0000}"/>
    <cellStyle name="Percent 71" xfId="15652" xr:uid="{00000000-0005-0000-0000-0000093D0000}"/>
    <cellStyle name="Percent 72" xfId="15653" xr:uid="{00000000-0005-0000-0000-00000A3D0000}"/>
    <cellStyle name="Percent 73" xfId="15654" xr:uid="{00000000-0005-0000-0000-00000B3D0000}"/>
    <cellStyle name="Percent 74" xfId="15655" xr:uid="{00000000-0005-0000-0000-00000C3D0000}"/>
    <cellStyle name="Percent 75" xfId="15656" xr:uid="{00000000-0005-0000-0000-00000D3D0000}"/>
    <cellStyle name="Percent 76" xfId="15657" xr:uid="{00000000-0005-0000-0000-00000E3D0000}"/>
    <cellStyle name="Percent 77" xfId="15658" xr:uid="{00000000-0005-0000-0000-00000F3D0000}"/>
    <cellStyle name="Percent 78" xfId="15659" xr:uid="{00000000-0005-0000-0000-0000103D0000}"/>
    <cellStyle name="Percent 79" xfId="15660" xr:uid="{00000000-0005-0000-0000-0000113D0000}"/>
    <cellStyle name="Percent 8" xfId="3149" xr:uid="{00000000-0005-0000-0000-0000123D0000}"/>
    <cellStyle name="Percent 8 2" xfId="15661" xr:uid="{00000000-0005-0000-0000-0000133D0000}"/>
    <cellStyle name="Percent 8 2 10" xfId="15662" xr:uid="{00000000-0005-0000-0000-0000143D0000}"/>
    <cellStyle name="Percent 8 2 2" xfId="15663" xr:uid="{00000000-0005-0000-0000-0000153D0000}"/>
    <cellStyle name="Percent 8 2 2 2" xfId="15664" xr:uid="{00000000-0005-0000-0000-0000163D0000}"/>
    <cellStyle name="Percent 8 2 2 2 2" xfId="15665" xr:uid="{00000000-0005-0000-0000-0000173D0000}"/>
    <cellStyle name="Percent 8 2 2 3" xfId="15666" xr:uid="{00000000-0005-0000-0000-0000183D0000}"/>
    <cellStyle name="Percent 8 2 2 4" xfId="15667" xr:uid="{00000000-0005-0000-0000-0000193D0000}"/>
    <cellStyle name="Percent 8 2 3" xfId="15668" xr:uid="{00000000-0005-0000-0000-00001A3D0000}"/>
    <cellStyle name="Percent 8 2 3 2" xfId="15669" xr:uid="{00000000-0005-0000-0000-00001B3D0000}"/>
    <cellStyle name="Percent 8 2 4" xfId="15670" xr:uid="{00000000-0005-0000-0000-00001C3D0000}"/>
    <cellStyle name="Percent 8 2 4 2" xfId="15671" xr:uid="{00000000-0005-0000-0000-00001D3D0000}"/>
    <cellStyle name="Percent 8 2 5" xfId="15672" xr:uid="{00000000-0005-0000-0000-00001E3D0000}"/>
    <cellStyle name="Percent 8 2 5 2" xfId="15673" xr:uid="{00000000-0005-0000-0000-00001F3D0000}"/>
    <cellStyle name="Percent 8 2 6" xfId="15674" xr:uid="{00000000-0005-0000-0000-0000203D0000}"/>
    <cellStyle name="Percent 8 2 7" xfId="15675" xr:uid="{00000000-0005-0000-0000-0000213D0000}"/>
    <cellStyle name="Percent 8 2 8" xfId="15676" xr:uid="{00000000-0005-0000-0000-0000223D0000}"/>
    <cellStyle name="Percent 8 2 9" xfId="15677" xr:uid="{00000000-0005-0000-0000-0000233D0000}"/>
    <cellStyle name="Percent 8 3" xfId="15678" xr:uid="{00000000-0005-0000-0000-0000243D0000}"/>
    <cellStyle name="Percent 8 3 2" xfId="15679" xr:uid="{00000000-0005-0000-0000-0000253D0000}"/>
    <cellStyle name="Percent 8 3 2 2" xfId="15680" xr:uid="{00000000-0005-0000-0000-0000263D0000}"/>
    <cellStyle name="Percent 8 3 3" xfId="15681" xr:uid="{00000000-0005-0000-0000-0000273D0000}"/>
    <cellStyle name="Percent 8 3 3 2" xfId="15682" xr:uid="{00000000-0005-0000-0000-0000283D0000}"/>
    <cellStyle name="Percent 8 3 4" xfId="15683" xr:uid="{00000000-0005-0000-0000-0000293D0000}"/>
    <cellStyle name="Percent 8 4" xfId="15684" xr:uid="{00000000-0005-0000-0000-00002A3D0000}"/>
    <cellStyle name="Percent 8 4 2" xfId="15685" xr:uid="{00000000-0005-0000-0000-00002B3D0000}"/>
    <cellStyle name="Percent 8 5" xfId="15686" xr:uid="{00000000-0005-0000-0000-00002C3D0000}"/>
    <cellStyle name="Percent 8 6" xfId="15687" xr:uid="{00000000-0005-0000-0000-00002D3D0000}"/>
    <cellStyle name="Percent 80" xfId="15688" xr:uid="{00000000-0005-0000-0000-00002E3D0000}"/>
    <cellStyle name="Percent 81" xfId="15689" xr:uid="{00000000-0005-0000-0000-00002F3D0000}"/>
    <cellStyle name="Percent 82" xfId="15690" xr:uid="{00000000-0005-0000-0000-0000303D0000}"/>
    <cellStyle name="Percent 83" xfId="15691" xr:uid="{00000000-0005-0000-0000-0000313D0000}"/>
    <cellStyle name="Percent 84" xfId="15692" xr:uid="{00000000-0005-0000-0000-0000323D0000}"/>
    <cellStyle name="Percent 85" xfId="15693" xr:uid="{00000000-0005-0000-0000-0000333D0000}"/>
    <cellStyle name="Percent 86" xfId="15694" xr:uid="{00000000-0005-0000-0000-0000343D0000}"/>
    <cellStyle name="Percent 87" xfId="15695" xr:uid="{00000000-0005-0000-0000-0000353D0000}"/>
    <cellStyle name="Percent 88" xfId="15696" xr:uid="{00000000-0005-0000-0000-0000363D0000}"/>
    <cellStyle name="Percent 89" xfId="15697" xr:uid="{00000000-0005-0000-0000-0000373D0000}"/>
    <cellStyle name="Percent 9" xfId="3150" xr:uid="{00000000-0005-0000-0000-0000383D0000}"/>
    <cellStyle name="Percent 9 2" xfId="15698" xr:uid="{00000000-0005-0000-0000-0000393D0000}"/>
    <cellStyle name="Percent 9 2 10" xfId="15699" xr:uid="{00000000-0005-0000-0000-00003A3D0000}"/>
    <cellStyle name="Percent 9 2 2" xfId="15700" xr:uid="{00000000-0005-0000-0000-00003B3D0000}"/>
    <cellStyle name="Percent 9 2 2 2" xfId="15701" xr:uid="{00000000-0005-0000-0000-00003C3D0000}"/>
    <cellStyle name="Percent 9 2 2 2 2" xfId="15702" xr:uid="{00000000-0005-0000-0000-00003D3D0000}"/>
    <cellStyle name="Percent 9 2 2 3" xfId="15703" xr:uid="{00000000-0005-0000-0000-00003E3D0000}"/>
    <cellStyle name="Percent 9 2 2 4" xfId="15704" xr:uid="{00000000-0005-0000-0000-00003F3D0000}"/>
    <cellStyle name="Percent 9 2 3" xfId="15705" xr:uid="{00000000-0005-0000-0000-0000403D0000}"/>
    <cellStyle name="Percent 9 2 3 2" xfId="15706" xr:uid="{00000000-0005-0000-0000-0000413D0000}"/>
    <cellStyle name="Percent 9 2 4" xfId="15707" xr:uid="{00000000-0005-0000-0000-0000423D0000}"/>
    <cellStyle name="Percent 9 2 4 2" xfId="15708" xr:uid="{00000000-0005-0000-0000-0000433D0000}"/>
    <cellStyle name="Percent 9 2 5" xfId="15709" xr:uid="{00000000-0005-0000-0000-0000443D0000}"/>
    <cellStyle name="Percent 9 2 5 2" xfId="15710" xr:uid="{00000000-0005-0000-0000-0000453D0000}"/>
    <cellStyle name="Percent 9 2 6" xfId="15711" xr:uid="{00000000-0005-0000-0000-0000463D0000}"/>
    <cellStyle name="Percent 9 2 7" xfId="15712" xr:uid="{00000000-0005-0000-0000-0000473D0000}"/>
    <cellStyle name="Percent 9 2 8" xfId="15713" xr:uid="{00000000-0005-0000-0000-0000483D0000}"/>
    <cellStyle name="Percent 9 2 9" xfId="15714" xr:uid="{00000000-0005-0000-0000-0000493D0000}"/>
    <cellStyle name="Percent 9 3" xfId="15715" xr:uid="{00000000-0005-0000-0000-00004A3D0000}"/>
    <cellStyle name="Percent 9 3 2" xfId="15716" xr:uid="{00000000-0005-0000-0000-00004B3D0000}"/>
    <cellStyle name="Percent 9 3 2 2" xfId="15717" xr:uid="{00000000-0005-0000-0000-00004C3D0000}"/>
    <cellStyle name="Percent 9 3 3" xfId="15718" xr:uid="{00000000-0005-0000-0000-00004D3D0000}"/>
    <cellStyle name="Percent 9 3 3 2" xfId="15719" xr:uid="{00000000-0005-0000-0000-00004E3D0000}"/>
    <cellStyle name="Percent 9 3 4" xfId="15720" xr:uid="{00000000-0005-0000-0000-00004F3D0000}"/>
    <cellStyle name="Percent 9 4" xfId="15721" xr:uid="{00000000-0005-0000-0000-0000503D0000}"/>
    <cellStyle name="Percent 9 4 2" xfId="15722" xr:uid="{00000000-0005-0000-0000-0000513D0000}"/>
    <cellStyle name="Percent 9 5" xfId="15723" xr:uid="{00000000-0005-0000-0000-0000523D0000}"/>
    <cellStyle name="Percent 9 6" xfId="15724" xr:uid="{00000000-0005-0000-0000-0000533D0000}"/>
    <cellStyle name="Percent 90" xfId="15725" xr:uid="{00000000-0005-0000-0000-0000543D0000}"/>
    <cellStyle name="Percent 91" xfId="15726" xr:uid="{00000000-0005-0000-0000-0000553D0000}"/>
    <cellStyle name="Percent 92" xfId="15727" xr:uid="{00000000-0005-0000-0000-0000563D0000}"/>
    <cellStyle name="Percent 93" xfId="15728" xr:uid="{00000000-0005-0000-0000-0000573D0000}"/>
    <cellStyle name="Percent 94" xfId="15729" xr:uid="{00000000-0005-0000-0000-0000583D0000}"/>
    <cellStyle name="Percent 95" xfId="15730" xr:uid="{00000000-0005-0000-0000-0000593D0000}"/>
    <cellStyle name="Percent 96" xfId="15731" xr:uid="{00000000-0005-0000-0000-00005A3D0000}"/>
    <cellStyle name="Percent 97" xfId="15732" xr:uid="{00000000-0005-0000-0000-00005B3D0000}"/>
    <cellStyle name="Percent 98" xfId="15733" xr:uid="{00000000-0005-0000-0000-00005C3D0000}"/>
    <cellStyle name="Percent 99" xfId="15734" xr:uid="{00000000-0005-0000-0000-00005D3D0000}"/>
    <cellStyle name="Percent Hard" xfId="15735" xr:uid="{00000000-0005-0000-0000-00005E3D0000}"/>
    <cellStyle name="Percent Hard 10" xfId="15736" xr:uid="{00000000-0005-0000-0000-00005F3D0000}"/>
    <cellStyle name="Percent Hard 11" xfId="15737" xr:uid="{00000000-0005-0000-0000-0000603D0000}"/>
    <cellStyle name="Percent Hard 12" xfId="15738" xr:uid="{00000000-0005-0000-0000-0000613D0000}"/>
    <cellStyle name="Percent Hard 13" xfId="15739" xr:uid="{00000000-0005-0000-0000-0000623D0000}"/>
    <cellStyle name="Percent Hard 14" xfId="15740" xr:uid="{00000000-0005-0000-0000-0000633D0000}"/>
    <cellStyle name="Percent Hard 15" xfId="15741" xr:uid="{00000000-0005-0000-0000-0000643D0000}"/>
    <cellStyle name="Percent Hard 16" xfId="15742" xr:uid="{00000000-0005-0000-0000-0000653D0000}"/>
    <cellStyle name="Percent Hard 17" xfId="15743" xr:uid="{00000000-0005-0000-0000-0000663D0000}"/>
    <cellStyle name="Percent Hard 18" xfId="15744" xr:uid="{00000000-0005-0000-0000-0000673D0000}"/>
    <cellStyle name="Percent Hard 19" xfId="15745" xr:uid="{00000000-0005-0000-0000-0000683D0000}"/>
    <cellStyle name="Percent Hard 2" xfId="15746" xr:uid="{00000000-0005-0000-0000-0000693D0000}"/>
    <cellStyle name="Percent Hard 20" xfId="15747" xr:uid="{00000000-0005-0000-0000-00006A3D0000}"/>
    <cellStyle name="Percent Hard 21" xfId="15748" xr:uid="{00000000-0005-0000-0000-00006B3D0000}"/>
    <cellStyle name="Percent Hard 22" xfId="15749" xr:uid="{00000000-0005-0000-0000-00006C3D0000}"/>
    <cellStyle name="Percent Hard 23" xfId="15750" xr:uid="{00000000-0005-0000-0000-00006D3D0000}"/>
    <cellStyle name="Percent Hard 24" xfId="15751" xr:uid="{00000000-0005-0000-0000-00006E3D0000}"/>
    <cellStyle name="Percent Hard 25" xfId="15752" xr:uid="{00000000-0005-0000-0000-00006F3D0000}"/>
    <cellStyle name="Percent Hard 26" xfId="15753" xr:uid="{00000000-0005-0000-0000-0000703D0000}"/>
    <cellStyle name="Percent Hard 27" xfId="15754" xr:uid="{00000000-0005-0000-0000-0000713D0000}"/>
    <cellStyle name="Percent Hard 28" xfId="15755" xr:uid="{00000000-0005-0000-0000-0000723D0000}"/>
    <cellStyle name="Percent Hard 29" xfId="15756" xr:uid="{00000000-0005-0000-0000-0000733D0000}"/>
    <cellStyle name="Percent Hard 3" xfId="15757" xr:uid="{00000000-0005-0000-0000-0000743D0000}"/>
    <cellStyle name="Percent Hard 30" xfId="15758" xr:uid="{00000000-0005-0000-0000-0000753D0000}"/>
    <cellStyle name="Percent Hard 4" xfId="15759" xr:uid="{00000000-0005-0000-0000-0000763D0000}"/>
    <cellStyle name="Percent Hard 5" xfId="15760" xr:uid="{00000000-0005-0000-0000-0000773D0000}"/>
    <cellStyle name="Percent Hard 6" xfId="15761" xr:uid="{00000000-0005-0000-0000-0000783D0000}"/>
    <cellStyle name="Percent Hard 7" xfId="15762" xr:uid="{00000000-0005-0000-0000-0000793D0000}"/>
    <cellStyle name="Percent Hard 8" xfId="15763" xr:uid="{00000000-0005-0000-0000-00007A3D0000}"/>
    <cellStyle name="Percent Hard 9" xfId="15764" xr:uid="{00000000-0005-0000-0000-00007B3D0000}"/>
    <cellStyle name="PSChar" xfId="15765" xr:uid="{00000000-0005-0000-0000-00007C3D0000}"/>
    <cellStyle name="PSChar 2" xfId="15766" xr:uid="{00000000-0005-0000-0000-00007D3D0000}"/>
    <cellStyle name="PSChar 3" xfId="15767" xr:uid="{00000000-0005-0000-0000-00007E3D0000}"/>
    <cellStyle name="PSChar 4" xfId="15768" xr:uid="{00000000-0005-0000-0000-00007F3D0000}"/>
    <cellStyle name="PSChar 5" xfId="15769" xr:uid="{00000000-0005-0000-0000-0000803D0000}"/>
    <cellStyle name="PSChar 6" xfId="15770" xr:uid="{00000000-0005-0000-0000-0000813D0000}"/>
    <cellStyle name="PSCustom" xfId="15771" xr:uid="{00000000-0005-0000-0000-0000823D0000}"/>
    <cellStyle name="PSDate" xfId="15772" xr:uid="{00000000-0005-0000-0000-0000833D0000}"/>
    <cellStyle name="PSDate 2" xfId="15773" xr:uid="{00000000-0005-0000-0000-0000843D0000}"/>
    <cellStyle name="PSDate 3" xfId="15774" xr:uid="{00000000-0005-0000-0000-0000853D0000}"/>
    <cellStyle name="PSDate 4" xfId="15775" xr:uid="{00000000-0005-0000-0000-0000863D0000}"/>
    <cellStyle name="PSDate 5" xfId="15776" xr:uid="{00000000-0005-0000-0000-0000873D0000}"/>
    <cellStyle name="PSDate 6" xfId="15777" xr:uid="{00000000-0005-0000-0000-0000883D0000}"/>
    <cellStyle name="PSDec" xfId="15778" xr:uid="{00000000-0005-0000-0000-0000893D0000}"/>
    <cellStyle name="PSDec 2" xfId="15779" xr:uid="{00000000-0005-0000-0000-00008A3D0000}"/>
    <cellStyle name="PSDec 3" xfId="15780" xr:uid="{00000000-0005-0000-0000-00008B3D0000}"/>
    <cellStyle name="PSDec 4" xfId="15781" xr:uid="{00000000-0005-0000-0000-00008C3D0000}"/>
    <cellStyle name="PSDec 5" xfId="15782" xr:uid="{00000000-0005-0000-0000-00008D3D0000}"/>
    <cellStyle name="PSDec 6" xfId="15783" xr:uid="{00000000-0005-0000-0000-00008E3D0000}"/>
    <cellStyle name="PSHeading" xfId="15784" xr:uid="{00000000-0005-0000-0000-00008F3D0000}"/>
    <cellStyle name="PSHeading 2" xfId="15785" xr:uid="{00000000-0005-0000-0000-0000903D0000}"/>
    <cellStyle name="PSHeading 3" xfId="15786" xr:uid="{00000000-0005-0000-0000-0000913D0000}"/>
    <cellStyle name="PSHeading 4" xfId="15787" xr:uid="{00000000-0005-0000-0000-0000923D0000}"/>
    <cellStyle name="PSHeading 5" xfId="15788" xr:uid="{00000000-0005-0000-0000-0000933D0000}"/>
    <cellStyle name="PSHeading 6" xfId="15789" xr:uid="{00000000-0005-0000-0000-0000943D0000}"/>
    <cellStyle name="PSHeading_Attachment A - calculations (updated)" xfId="15790" xr:uid="{00000000-0005-0000-0000-0000953D0000}"/>
    <cellStyle name="PSInt" xfId="15791" xr:uid="{00000000-0005-0000-0000-0000963D0000}"/>
    <cellStyle name="PSInt 2" xfId="15792" xr:uid="{00000000-0005-0000-0000-0000973D0000}"/>
    <cellStyle name="PSInt 3" xfId="15793" xr:uid="{00000000-0005-0000-0000-0000983D0000}"/>
    <cellStyle name="PSInt 4" xfId="15794" xr:uid="{00000000-0005-0000-0000-0000993D0000}"/>
    <cellStyle name="PSInt 5" xfId="15795" xr:uid="{00000000-0005-0000-0000-00009A3D0000}"/>
    <cellStyle name="PSInt 6" xfId="15796" xr:uid="{00000000-0005-0000-0000-00009B3D0000}"/>
    <cellStyle name="PSSpacer" xfId="15797" xr:uid="{00000000-0005-0000-0000-00009C3D0000}"/>
    <cellStyle name="PSSpacer 2" xfId="15798" xr:uid="{00000000-0005-0000-0000-00009D3D0000}"/>
    <cellStyle name="PSSpacer 3" xfId="15799" xr:uid="{00000000-0005-0000-0000-00009E3D0000}"/>
    <cellStyle name="PSSpacer 4" xfId="15800" xr:uid="{00000000-0005-0000-0000-00009F3D0000}"/>
    <cellStyle name="PSSpacer 5" xfId="15801" xr:uid="{00000000-0005-0000-0000-0000A03D0000}"/>
    <cellStyle name="PSSpacer 6" xfId="15802" xr:uid="{00000000-0005-0000-0000-0000A13D0000}"/>
    <cellStyle name="PSSum" xfId="15803" xr:uid="{00000000-0005-0000-0000-0000A23D0000}"/>
    <cellStyle name="Region" xfId="15804" xr:uid="{00000000-0005-0000-0000-0000A33D0000}"/>
    <cellStyle name="regional" xfId="15805" xr:uid="{00000000-0005-0000-0000-0000A43D0000}"/>
    <cellStyle name="Report" xfId="15806" xr:uid="{00000000-0005-0000-0000-0000A53D0000}"/>
    <cellStyle name="SAPBEXaggData" xfId="15807" xr:uid="{00000000-0005-0000-0000-0000A63D0000}"/>
    <cellStyle name="SAPBEXaggData 2" xfId="15808" xr:uid="{00000000-0005-0000-0000-0000A73D0000}"/>
    <cellStyle name="SAPBEXaggData 3" xfId="15809" xr:uid="{00000000-0005-0000-0000-0000A83D0000}"/>
    <cellStyle name="SAPBEXaggData 4" xfId="15810" xr:uid="{00000000-0005-0000-0000-0000A93D0000}"/>
    <cellStyle name="SAPBEXaggData 5" xfId="15811" xr:uid="{00000000-0005-0000-0000-0000AA3D0000}"/>
    <cellStyle name="SAPBEXaggData 6" xfId="15812" xr:uid="{00000000-0005-0000-0000-0000AB3D0000}"/>
    <cellStyle name="SAPBEXaggData_Attachment A - calculations (updated)" xfId="15813" xr:uid="{00000000-0005-0000-0000-0000AC3D0000}"/>
    <cellStyle name="SAPBEXaggDataEmph" xfId="15814" xr:uid="{00000000-0005-0000-0000-0000AD3D0000}"/>
    <cellStyle name="SAPBEXaggDataEmph 2" xfId="15815" xr:uid="{00000000-0005-0000-0000-0000AE3D0000}"/>
    <cellStyle name="SAPBEXaggDataEmph 3" xfId="15816" xr:uid="{00000000-0005-0000-0000-0000AF3D0000}"/>
    <cellStyle name="SAPBEXaggDataEmph 4" xfId="15817" xr:uid="{00000000-0005-0000-0000-0000B03D0000}"/>
    <cellStyle name="SAPBEXaggDataEmph 5" xfId="15818" xr:uid="{00000000-0005-0000-0000-0000B13D0000}"/>
    <cellStyle name="SAPBEXaggDataEmph 6" xfId="15819" xr:uid="{00000000-0005-0000-0000-0000B23D0000}"/>
    <cellStyle name="SAPBEXaggDataEmph_Attachment A - calculations (updated)" xfId="15820" xr:uid="{00000000-0005-0000-0000-0000B33D0000}"/>
    <cellStyle name="SAPBEXaggExc1" xfId="15821" xr:uid="{00000000-0005-0000-0000-0000B43D0000}"/>
    <cellStyle name="SAPBEXaggExc1 2" xfId="15822" xr:uid="{00000000-0005-0000-0000-0000B53D0000}"/>
    <cellStyle name="SAPBEXaggExc1 3" xfId="15823" xr:uid="{00000000-0005-0000-0000-0000B63D0000}"/>
    <cellStyle name="SAPBEXaggExc1 4" xfId="15824" xr:uid="{00000000-0005-0000-0000-0000B73D0000}"/>
    <cellStyle name="SAPBEXaggExc1 5" xfId="15825" xr:uid="{00000000-0005-0000-0000-0000B83D0000}"/>
    <cellStyle name="SAPBEXaggExc1 6" xfId="15826" xr:uid="{00000000-0005-0000-0000-0000B93D0000}"/>
    <cellStyle name="SAPBEXaggExc1_Attachment A - calculations (updated)" xfId="15827" xr:uid="{00000000-0005-0000-0000-0000BA3D0000}"/>
    <cellStyle name="SAPBEXaggExc1Emph" xfId="15828" xr:uid="{00000000-0005-0000-0000-0000BB3D0000}"/>
    <cellStyle name="SAPBEXaggExc1Emph 2" xfId="15829" xr:uid="{00000000-0005-0000-0000-0000BC3D0000}"/>
    <cellStyle name="SAPBEXaggExc1Emph 3" xfId="15830" xr:uid="{00000000-0005-0000-0000-0000BD3D0000}"/>
    <cellStyle name="SAPBEXaggExc1Emph 4" xfId="15831" xr:uid="{00000000-0005-0000-0000-0000BE3D0000}"/>
    <cellStyle name="SAPBEXaggExc1Emph 5" xfId="15832" xr:uid="{00000000-0005-0000-0000-0000BF3D0000}"/>
    <cellStyle name="SAPBEXaggExc1Emph 6" xfId="15833" xr:uid="{00000000-0005-0000-0000-0000C03D0000}"/>
    <cellStyle name="SAPBEXaggExc1Emph_Attachment A - calculations (updated)" xfId="15834" xr:uid="{00000000-0005-0000-0000-0000C13D0000}"/>
    <cellStyle name="SAPBEXaggExc2" xfId="15835" xr:uid="{00000000-0005-0000-0000-0000C23D0000}"/>
    <cellStyle name="SAPBEXaggExc2 2" xfId="15836" xr:uid="{00000000-0005-0000-0000-0000C33D0000}"/>
    <cellStyle name="SAPBEXaggExc2 3" xfId="15837" xr:uid="{00000000-0005-0000-0000-0000C43D0000}"/>
    <cellStyle name="SAPBEXaggExc2 4" xfId="15838" xr:uid="{00000000-0005-0000-0000-0000C53D0000}"/>
    <cellStyle name="SAPBEXaggExc2 5" xfId="15839" xr:uid="{00000000-0005-0000-0000-0000C63D0000}"/>
    <cellStyle name="SAPBEXaggExc2 6" xfId="15840" xr:uid="{00000000-0005-0000-0000-0000C73D0000}"/>
    <cellStyle name="SAPBEXaggExc2_Attachment A - calculations (updated)" xfId="15841" xr:uid="{00000000-0005-0000-0000-0000C83D0000}"/>
    <cellStyle name="SAPBEXaggExc2Emph" xfId="15842" xr:uid="{00000000-0005-0000-0000-0000C93D0000}"/>
    <cellStyle name="SAPBEXaggExc2Emph 2" xfId="15843" xr:uid="{00000000-0005-0000-0000-0000CA3D0000}"/>
    <cellStyle name="SAPBEXaggExc2Emph 3" xfId="15844" xr:uid="{00000000-0005-0000-0000-0000CB3D0000}"/>
    <cellStyle name="SAPBEXaggExc2Emph 4" xfId="15845" xr:uid="{00000000-0005-0000-0000-0000CC3D0000}"/>
    <cellStyle name="SAPBEXaggExc2Emph 5" xfId="15846" xr:uid="{00000000-0005-0000-0000-0000CD3D0000}"/>
    <cellStyle name="SAPBEXaggExc2Emph 6" xfId="15847" xr:uid="{00000000-0005-0000-0000-0000CE3D0000}"/>
    <cellStyle name="SAPBEXaggExc2Emph_Attachment A - calculations (updated)" xfId="15848" xr:uid="{00000000-0005-0000-0000-0000CF3D0000}"/>
    <cellStyle name="SAPBEXaggItem" xfId="15849" xr:uid="{00000000-0005-0000-0000-0000D03D0000}"/>
    <cellStyle name="SAPBEXaggItem 2" xfId="15850" xr:uid="{00000000-0005-0000-0000-0000D13D0000}"/>
    <cellStyle name="SAPBEXaggItem 3" xfId="15851" xr:uid="{00000000-0005-0000-0000-0000D23D0000}"/>
    <cellStyle name="SAPBEXaggItem 4" xfId="15852" xr:uid="{00000000-0005-0000-0000-0000D33D0000}"/>
    <cellStyle name="SAPBEXaggItem 5" xfId="15853" xr:uid="{00000000-0005-0000-0000-0000D43D0000}"/>
    <cellStyle name="SAPBEXaggItem 6" xfId="15854" xr:uid="{00000000-0005-0000-0000-0000D53D0000}"/>
    <cellStyle name="SAPBEXaggItem_Attachment A - calculations (updated)" xfId="15855" xr:uid="{00000000-0005-0000-0000-0000D63D0000}"/>
    <cellStyle name="SAPBEXbackground" xfId="15856" xr:uid="{00000000-0005-0000-0000-0000D73D0000}"/>
    <cellStyle name="SAPBEXbackground 2" xfId="15857" xr:uid="{00000000-0005-0000-0000-0000D83D0000}"/>
    <cellStyle name="SAPBEXbackground 3" xfId="15858" xr:uid="{00000000-0005-0000-0000-0000D93D0000}"/>
    <cellStyle name="SAPBEXbackground 4" xfId="15859" xr:uid="{00000000-0005-0000-0000-0000DA3D0000}"/>
    <cellStyle name="SAPBEXbackground 5" xfId="15860" xr:uid="{00000000-0005-0000-0000-0000DB3D0000}"/>
    <cellStyle name="SAPBEXbackground 6" xfId="15861" xr:uid="{00000000-0005-0000-0000-0000DC3D0000}"/>
    <cellStyle name="SAPBEXchaText" xfId="15862" xr:uid="{00000000-0005-0000-0000-0000DD3D0000}"/>
    <cellStyle name="SAPBEXchaText 2" xfId="15863" xr:uid="{00000000-0005-0000-0000-0000DE3D0000}"/>
    <cellStyle name="SAPBEXchaText 3" xfId="15864" xr:uid="{00000000-0005-0000-0000-0000DF3D0000}"/>
    <cellStyle name="SAPBEXchaText 4" xfId="15865" xr:uid="{00000000-0005-0000-0000-0000E03D0000}"/>
    <cellStyle name="SAPBEXchaText 5" xfId="15866" xr:uid="{00000000-0005-0000-0000-0000E13D0000}"/>
    <cellStyle name="SAPBEXchaText 6" xfId="15867" xr:uid="{00000000-0005-0000-0000-0000E23D0000}"/>
    <cellStyle name="SAPBEXexcBad7" xfId="15868" xr:uid="{00000000-0005-0000-0000-0000E33D0000}"/>
    <cellStyle name="SAPBEXexcBad7 2" xfId="15869" xr:uid="{00000000-0005-0000-0000-0000E43D0000}"/>
    <cellStyle name="SAPBEXexcBad7 3" xfId="15870" xr:uid="{00000000-0005-0000-0000-0000E53D0000}"/>
    <cellStyle name="SAPBEXexcBad7 4" xfId="15871" xr:uid="{00000000-0005-0000-0000-0000E63D0000}"/>
    <cellStyle name="SAPBEXexcBad7 5" xfId="15872" xr:uid="{00000000-0005-0000-0000-0000E73D0000}"/>
    <cellStyle name="SAPBEXexcBad7 6" xfId="15873" xr:uid="{00000000-0005-0000-0000-0000E83D0000}"/>
    <cellStyle name="SAPBEXexcBad7_Attachment A - calculations (updated)" xfId="15874" xr:uid="{00000000-0005-0000-0000-0000E93D0000}"/>
    <cellStyle name="SAPBEXexcBad8" xfId="15875" xr:uid="{00000000-0005-0000-0000-0000EA3D0000}"/>
    <cellStyle name="SAPBEXexcBad8 2" xfId="15876" xr:uid="{00000000-0005-0000-0000-0000EB3D0000}"/>
    <cellStyle name="SAPBEXexcBad8 3" xfId="15877" xr:uid="{00000000-0005-0000-0000-0000EC3D0000}"/>
    <cellStyle name="SAPBEXexcBad8 4" xfId="15878" xr:uid="{00000000-0005-0000-0000-0000ED3D0000}"/>
    <cellStyle name="SAPBEXexcBad8 5" xfId="15879" xr:uid="{00000000-0005-0000-0000-0000EE3D0000}"/>
    <cellStyle name="SAPBEXexcBad8 6" xfId="15880" xr:uid="{00000000-0005-0000-0000-0000EF3D0000}"/>
    <cellStyle name="SAPBEXexcBad8_Attachment A - calculations (updated)" xfId="15881" xr:uid="{00000000-0005-0000-0000-0000F03D0000}"/>
    <cellStyle name="SAPBEXexcBad9" xfId="15882" xr:uid="{00000000-0005-0000-0000-0000F13D0000}"/>
    <cellStyle name="SAPBEXexcBad9 2" xfId="15883" xr:uid="{00000000-0005-0000-0000-0000F23D0000}"/>
    <cellStyle name="SAPBEXexcBad9 3" xfId="15884" xr:uid="{00000000-0005-0000-0000-0000F33D0000}"/>
    <cellStyle name="SAPBEXexcBad9 4" xfId="15885" xr:uid="{00000000-0005-0000-0000-0000F43D0000}"/>
    <cellStyle name="SAPBEXexcBad9 5" xfId="15886" xr:uid="{00000000-0005-0000-0000-0000F53D0000}"/>
    <cellStyle name="SAPBEXexcBad9 6" xfId="15887" xr:uid="{00000000-0005-0000-0000-0000F63D0000}"/>
    <cellStyle name="SAPBEXexcBad9_Attachment A - calculations (updated)" xfId="15888" xr:uid="{00000000-0005-0000-0000-0000F73D0000}"/>
    <cellStyle name="SAPBEXexcCritical4" xfId="15889" xr:uid="{00000000-0005-0000-0000-0000F83D0000}"/>
    <cellStyle name="SAPBEXexcCritical4 2" xfId="15890" xr:uid="{00000000-0005-0000-0000-0000F93D0000}"/>
    <cellStyle name="SAPBEXexcCritical4 3" xfId="15891" xr:uid="{00000000-0005-0000-0000-0000FA3D0000}"/>
    <cellStyle name="SAPBEXexcCritical4 4" xfId="15892" xr:uid="{00000000-0005-0000-0000-0000FB3D0000}"/>
    <cellStyle name="SAPBEXexcCritical4 5" xfId="15893" xr:uid="{00000000-0005-0000-0000-0000FC3D0000}"/>
    <cellStyle name="SAPBEXexcCritical4 6" xfId="15894" xr:uid="{00000000-0005-0000-0000-0000FD3D0000}"/>
    <cellStyle name="SAPBEXexcCritical4_Attachment A - calculations (updated)" xfId="15895" xr:uid="{00000000-0005-0000-0000-0000FE3D0000}"/>
    <cellStyle name="SAPBEXexcCritical5" xfId="15896" xr:uid="{00000000-0005-0000-0000-0000FF3D0000}"/>
    <cellStyle name="SAPBEXexcCritical5 2" xfId="15897" xr:uid="{00000000-0005-0000-0000-0000003E0000}"/>
    <cellStyle name="SAPBEXexcCritical5 3" xfId="15898" xr:uid="{00000000-0005-0000-0000-0000013E0000}"/>
    <cellStyle name="SAPBEXexcCritical5 4" xfId="15899" xr:uid="{00000000-0005-0000-0000-0000023E0000}"/>
    <cellStyle name="SAPBEXexcCritical5 5" xfId="15900" xr:uid="{00000000-0005-0000-0000-0000033E0000}"/>
    <cellStyle name="SAPBEXexcCritical5 6" xfId="15901" xr:uid="{00000000-0005-0000-0000-0000043E0000}"/>
    <cellStyle name="SAPBEXexcCritical5_Attachment A - calculations (updated)" xfId="15902" xr:uid="{00000000-0005-0000-0000-0000053E0000}"/>
    <cellStyle name="SAPBEXexcCritical6" xfId="15903" xr:uid="{00000000-0005-0000-0000-0000063E0000}"/>
    <cellStyle name="SAPBEXexcCritical6 2" xfId="15904" xr:uid="{00000000-0005-0000-0000-0000073E0000}"/>
    <cellStyle name="SAPBEXexcCritical6 3" xfId="15905" xr:uid="{00000000-0005-0000-0000-0000083E0000}"/>
    <cellStyle name="SAPBEXexcCritical6 4" xfId="15906" xr:uid="{00000000-0005-0000-0000-0000093E0000}"/>
    <cellStyle name="SAPBEXexcCritical6 5" xfId="15907" xr:uid="{00000000-0005-0000-0000-00000A3E0000}"/>
    <cellStyle name="SAPBEXexcCritical6 6" xfId="15908" xr:uid="{00000000-0005-0000-0000-00000B3E0000}"/>
    <cellStyle name="SAPBEXexcCritical6_Attachment A - calculations (updated)" xfId="15909" xr:uid="{00000000-0005-0000-0000-00000C3E0000}"/>
    <cellStyle name="SAPBEXexcGood1" xfId="15910" xr:uid="{00000000-0005-0000-0000-00000D3E0000}"/>
    <cellStyle name="SAPBEXexcGood1 2" xfId="15911" xr:uid="{00000000-0005-0000-0000-00000E3E0000}"/>
    <cellStyle name="SAPBEXexcGood1 3" xfId="15912" xr:uid="{00000000-0005-0000-0000-00000F3E0000}"/>
    <cellStyle name="SAPBEXexcGood1 4" xfId="15913" xr:uid="{00000000-0005-0000-0000-0000103E0000}"/>
    <cellStyle name="SAPBEXexcGood1 5" xfId="15914" xr:uid="{00000000-0005-0000-0000-0000113E0000}"/>
    <cellStyle name="SAPBEXexcGood1 6" xfId="15915" xr:uid="{00000000-0005-0000-0000-0000123E0000}"/>
    <cellStyle name="SAPBEXexcGood1_Attachment A - calculations (updated)" xfId="15916" xr:uid="{00000000-0005-0000-0000-0000133E0000}"/>
    <cellStyle name="SAPBEXexcGood2" xfId="15917" xr:uid="{00000000-0005-0000-0000-0000143E0000}"/>
    <cellStyle name="SAPBEXexcGood2 2" xfId="15918" xr:uid="{00000000-0005-0000-0000-0000153E0000}"/>
    <cellStyle name="SAPBEXexcGood2 3" xfId="15919" xr:uid="{00000000-0005-0000-0000-0000163E0000}"/>
    <cellStyle name="SAPBEXexcGood2 4" xfId="15920" xr:uid="{00000000-0005-0000-0000-0000173E0000}"/>
    <cellStyle name="SAPBEXexcGood2 5" xfId="15921" xr:uid="{00000000-0005-0000-0000-0000183E0000}"/>
    <cellStyle name="SAPBEXexcGood2 6" xfId="15922" xr:uid="{00000000-0005-0000-0000-0000193E0000}"/>
    <cellStyle name="SAPBEXexcGood2_Attachment A - calculations (updated)" xfId="15923" xr:uid="{00000000-0005-0000-0000-00001A3E0000}"/>
    <cellStyle name="SAPBEXexcGood3" xfId="15924" xr:uid="{00000000-0005-0000-0000-00001B3E0000}"/>
    <cellStyle name="SAPBEXexcGood3 2" xfId="15925" xr:uid="{00000000-0005-0000-0000-00001C3E0000}"/>
    <cellStyle name="SAPBEXexcGood3 3" xfId="15926" xr:uid="{00000000-0005-0000-0000-00001D3E0000}"/>
    <cellStyle name="SAPBEXexcGood3 4" xfId="15927" xr:uid="{00000000-0005-0000-0000-00001E3E0000}"/>
    <cellStyle name="SAPBEXexcGood3 5" xfId="15928" xr:uid="{00000000-0005-0000-0000-00001F3E0000}"/>
    <cellStyle name="SAPBEXexcGood3 6" xfId="15929" xr:uid="{00000000-0005-0000-0000-0000203E0000}"/>
    <cellStyle name="SAPBEXexcGood3_Attachment A - calculations (updated)" xfId="15930" xr:uid="{00000000-0005-0000-0000-0000213E0000}"/>
    <cellStyle name="SAPBEXfilterDrill" xfId="15931" xr:uid="{00000000-0005-0000-0000-0000223E0000}"/>
    <cellStyle name="SAPBEXfilterDrill 2" xfId="15932" xr:uid="{00000000-0005-0000-0000-0000233E0000}"/>
    <cellStyle name="SAPBEXfilterDrill 3" xfId="15933" xr:uid="{00000000-0005-0000-0000-0000243E0000}"/>
    <cellStyle name="SAPBEXfilterDrill 4" xfId="15934" xr:uid="{00000000-0005-0000-0000-0000253E0000}"/>
    <cellStyle name="SAPBEXfilterDrill 5" xfId="15935" xr:uid="{00000000-0005-0000-0000-0000263E0000}"/>
    <cellStyle name="SAPBEXfilterDrill 6" xfId="15936" xr:uid="{00000000-0005-0000-0000-0000273E0000}"/>
    <cellStyle name="SAPBEXfilterDrill_Attachment A - calculations (updated)" xfId="15937" xr:uid="{00000000-0005-0000-0000-0000283E0000}"/>
    <cellStyle name="SAPBEXfilterItem" xfId="15938" xr:uid="{00000000-0005-0000-0000-0000293E0000}"/>
    <cellStyle name="SAPBEXfilterItem 2" xfId="15939" xr:uid="{00000000-0005-0000-0000-00002A3E0000}"/>
    <cellStyle name="SAPBEXfilterItem 3" xfId="15940" xr:uid="{00000000-0005-0000-0000-00002B3E0000}"/>
    <cellStyle name="SAPBEXfilterItem 4" xfId="15941" xr:uid="{00000000-0005-0000-0000-00002C3E0000}"/>
    <cellStyle name="SAPBEXfilterItem 5" xfId="15942" xr:uid="{00000000-0005-0000-0000-00002D3E0000}"/>
    <cellStyle name="SAPBEXfilterItem 6" xfId="15943" xr:uid="{00000000-0005-0000-0000-00002E3E0000}"/>
    <cellStyle name="SAPBEXfilterText" xfId="15944" xr:uid="{00000000-0005-0000-0000-00002F3E0000}"/>
    <cellStyle name="SAPBEXfilterText 2" xfId="15945" xr:uid="{00000000-0005-0000-0000-0000303E0000}"/>
    <cellStyle name="SAPBEXfilterText 3" xfId="15946" xr:uid="{00000000-0005-0000-0000-0000313E0000}"/>
    <cellStyle name="SAPBEXfilterText 4" xfId="15947" xr:uid="{00000000-0005-0000-0000-0000323E0000}"/>
    <cellStyle name="SAPBEXfilterText 5" xfId="15948" xr:uid="{00000000-0005-0000-0000-0000333E0000}"/>
    <cellStyle name="SAPBEXfilterText 6" xfId="15949" xr:uid="{00000000-0005-0000-0000-0000343E0000}"/>
    <cellStyle name="SAPBEXformats" xfId="15950" xr:uid="{00000000-0005-0000-0000-0000353E0000}"/>
    <cellStyle name="SAPBEXformats 2" xfId="15951" xr:uid="{00000000-0005-0000-0000-0000363E0000}"/>
    <cellStyle name="SAPBEXformats 3" xfId="15952" xr:uid="{00000000-0005-0000-0000-0000373E0000}"/>
    <cellStyle name="SAPBEXformats 4" xfId="15953" xr:uid="{00000000-0005-0000-0000-0000383E0000}"/>
    <cellStyle name="SAPBEXformats 5" xfId="15954" xr:uid="{00000000-0005-0000-0000-0000393E0000}"/>
    <cellStyle name="SAPBEXformats 6" xfId="15955" xr:uid="{00000000-0005-0000-0000-00003A3E0000}"/>
    <cellStyle name="SAPBEXformats_Attachment A - calculations (updated)" xfId="15956" xr:uid="{00000000-0005-0000-0000-00003B3E0000}"/>
    <cellStyle name="SAPBEXheaderData" xfId="15957" xr:uid="{00000000-0005-0000-0000-00003C3E0000}"/>
    <cellStyle name="SAPBEXheaderData 2" xfId="15958" xr:uid="{00000000-0005-0000-0000-00003D3E0000}"/>
    <cellStyle name="SAPBEXheaderData 3" xfId="15959" xr:uid="{00000000-0005-0000-0000-00003E3E0000}"/>
    <cellStyle name="SAPBEXheaderData 4" xfId="15960" xr:uid="{00000000-0005-0000-0000-00003F3E0000}"/>
    <cellStyle name="SAPBEXheaderData 5" xfId="15961" xr:uid="{00000000-0005-0000-0000-0000403E0000}"/>
    <cellStyle name="SAPBEXheaderData 6" xfId="15962" xr:uid="{00000000-0005-0000-0000-0000413E0000}"/>
    <cellStyle name="SAPBEXheaderItem" xfId="15963" xr:uid="{00000000-0005-0000-0000-0000423E0000}"/>
    <cellStyle name="SAPBEXheaderItem 2" xfId="15964" xr:uid="{00000000-0005-0000-0000-0000433E0000}"/>
    <cellStyle name="SAPBEXheaderItem 3" xfId="15965" xr:uid="{00000000-0005-0000-0000-0000443E0000}"/>
    <cellStyle name="SAPBEXheaderItem 4" xfId="15966" xr:uid="{00000000-0005-0000-0000-0000453E0000}"/>
    <cellStyle name="SAPBEXheaderItem 5" xfId="15967" xr:uid="{00000000-0005-0000-0000-0000463E0000}"/>
    <cellStyle name="SAPBEXheaderItem 6" xfId="15968" xr:uid="{00000000-0005-0000-0000-0000473E0000}"/>
    <cellStyle name="SAPBEXheaderRowOne" xfId="15969" xr:uid="{00000000-0005-0000-0000-0000483E0000}"/>
    <cellStyle name="SAPBEXheaderRowOne 2" xfId="15970" xr:uid="{00000000-0005-0000-0000-0000493E0000}"/>
    <cellStyle name="SAPBEXheaderRowOne 3" xfId="15971" xr:uid="{00000000-0005-0000-0000-00004A3E0000}"/>
    <cellStyle name="SAPBEXheaderRowOne 4" xfId="15972" xr:uid="{00000000-0005-0000-0000-00004B3E0000}"/>
    <cellStyle name="SAPBEXheaderRowOne 5" xfId="15973" xr:uid="{00000000-0005-0000-0000-00004C3E0000}"/>
    <cellStyle name="SAPBEXheaderRowOne 6" xfId="15974" xr:uid="{00000000-0005-0000-0000-00004D3E0000}"/>
    <cellStyle name="SAPBEXheaderRowThree" xfId="15975" xr:uid="{00000000-0005-0000-0000-00004E3E0000}"/>
    <cellStyle name="SAPBEXheaderRowThree 2" xfId="15976" xr:uid="{00000000-0005-0000-0000-00004F3E0000}"/>
    <cellStyle name="SAPBEXheaderRowThree 3" xfId="15977" xr:uid="{00000000-0005-0000-0000-0000503E0000}"/>
    <cellStyle name="SAPBEXheaderRowThree 4" xfId="15978" xr:uid="{00000000-0005-0000-0000-0000513E0000}"/>
    <cellStyle name="SAPBEXheaderRowThree 5" xfId="15979" xr:uid="{00000000-0005-0000-0000-0000523E0000}"/>
    <cellStyle name="SAPBEXheaderRowThree 6" xfId="15980" xr:uid="{00000000-0005-0000-0000-0000533E0000}"/>
    <cellStyle name="SAPBEXheaderRowTwo" xfId="15981" xr:uid="{00000000-0005-0000-0000-0000543E0000}"/>
    <cellStyle name="SAPBEXheaderRowTwo 2" xfId="15982" xr:uid="{00000000-0005-0000-0000-0000553E0000}"/>
    <cellStyle name="SAPBEXheaderRowTwo 3" xfId="15983" xr:uid="{00000000-0005-0000-0000-0000563E0000}"/>
    <cellStyle name="SAPBEXheaderRowTwo 4" xfId="15984" xr:uid="{00000000-0005-0000-0000-0000573E0000}"/>
    <cellStyle name="SAPBEXheaderRowTwo 5" xfId="15985" xr:uid="{00000000-0005-0000-0000-0000583E0000}"/>
    <cellStyle name="SAPBEXheaderRowTwo 6" xfId="15986" xr:uid="{00000000-0005-0000-0000-0000593E0000}"/>
    <cellStyle name="SAPBEXheaderSingleRow" xfId="15987" xr:uid="{00000000-0005-0000-0000-00005A3E0000}"/>
    <cellStyle name="SAPBEXheaderSingleRow 2" xfId="15988" xr:uid="{00000000-0005-0000-0000-00005B3E0000}"/>
    <cellStyle name="SAPBEXheaderSingleRow 3" xfId="15989" xr:uid="{00000000-0005-0000-0000-00005C3E0000}"/>
    <cellStyle name="SAPBEXheaderSingleRow 4" xfId="15990" xr:uid="{00000000-0005-0000-0000-00005D3E0000}"/>
    <cellStyle name="SAPBEXheaderSingleRow 5" xfId="15991" xr:uid="{00000000-0005-0000-0000-00005E3E0000}"/>
    <cellStyle name="SAPBEXheaderSingleRow 6" xfId="15992" xr:uid="{00000000-0005-0000-0000-00005F3E0000}"/>
    <cellStyle name="SAPBEXheaderSingleRow_Attachment A - calculations (updated)" xfId="15993" xr:uid="{00000000-0005-0000-0000-0000603E0000}"/>
    <cellStyle name="SAPBEXheaderText" xfId="15994" xr:uid="{00000000-0005-0000-0000-0000613E0000}"/>
    <cellStyle name="SAPBEXheaderText 2" xfId="15995" xr:uid="{00000000-0005-0000-0000-0000623E0000}"/>
    <cellStyle name="SAPBEXheaderText 3" xfId="15996" xr:uid="{00000000-0005-0000-0000-0000633E0000}"/>
    <cellStyle name="SAPBEXheaderText 4" xfId="15997" xr:uid="{00000000-0005-0000-0000-0000643E0000}"/>
    <cellStyle name="SAPBEXheaderText 5" xfId="15998" xr:uid="{00000000-0005-0000-0000-0000653E0000}"/>
    <cellStyle name="SAPBEXheaderText 6" xfId="15999" xr:uid="{00000000-0005-0000-0000-0000663E0000}"/>
    <cellStyle name="SAPBEXresData" xfId="16000" xr:uid="{00000000-0005-0000-0000-0000673E0000}"/>
    <cellStyle name="SAPBEXresData 2" xfId="16001" xr:uid="{00000000-0005-0000-0000-0000683E0000}"/>
    <cellStyle name="SAPBEXresData 3" xfId="16002" xr:uid="{00000000-0005-0000-0000-0000693E0000}"/>
    <cellStyle name="SAPBEXresData 4" xfId="16003" xr:uid="{00000000-0005-0000-0000-00006A3E0000}"/>
    <cellStyle name="SAPBEXresData 5" xfId="16004" xr:uid="{00000000-0005-0000-0000-00006B3E0000}"/>
    <cellStyle name="SAPBEXresData 6" xfId="16005" xr:uid="{00000000-0005-0000-0000-00006C3E0000}"/>
    <cellStyle name="SAPBEXresData_Attachment A - calculations (updated)" xfId="16006" xr:uid="{00000000-0005-0000-0000-00006D3E0000}"/>
    <cellStyle name="SAPBEXresDataEmph" xfId="16007" xr:uid="{00000000-0005-0000-0000-00006E3E0000}"/>
    <cellStyle name="SAPBEXresDataEmph 2" xfId="16008" xr:uid="{00000000-0005-0000-0000-00006F3E0000}"/>
    <cellStyle name="SAPBEXresDataEmph 3" xfId="16009" xr:uid="{00000000-0005-0000-0000-0000703E0000}"/>
    <cellStyle name="SAPBEXresDataEmph 4" xfId="16010" xr:uid="{00000000-0005-0000-0000-0000713E0000}"/>
    <cellStyle name="SAPBEXresDataEmph 5" xfId="16011" xr:uid="{00000000-0005-0000-0000-0000723E0000}"/>
    <cellStyle name="SAPBEXresDataEmph 6" xfId="16012" xr:uid="{00000000-0005-0000-0000-0000733E0000}"/>
    <cellStyle name="SAPBEXresDataEmph_Attachment A - calculations (updated)" xfId="16013" xr:uid="{00000000-0005-0000-0000-0000743E0000}"/>
    <cellStyle name="SAPBEXresExc1" xfId="16014" xr:uid="{00000000-0005-0000-0000-0000753E0000}"/>
    <cellStyle name="SAPBEXresExc1 2" xfId="16015" xr:uid="{00000000-0005-0000-0000-0000763E0000}"/>
    <cellStyle name="SAPBEXresExc1 3" xfId="16016" xr:uid="{00000000-0005-0000-0000-0000773E0000}"/>
    <cellStyle name="SAPBEXresExc1 4" xfId="16017" xr:uid="{00000000-0005-0000-0000-0000783E0000}"/>
    <cellStyle name="SAPBEXresExc1 5" xfId="16018" xr:uid="{00000000-0005-0000-0000-0000793E0000}"/>
    <cellStyle name="SAPBEXresExc1 6" xfId="16019" xr:uid="{00000000-0005-0000-0000-00007A3E0000}"/>
    <cellStyle name="SAPBEXresExc1_Attachment A - calculations (updated)" xfId="16020" xr:uid="{00000000-0005-0000-0000-00007B3E0000}"/>
    <cellStyle name="SAPBEXresExc1Emph" xfId="16021" xr:uid="{00000000-0005-0000-0000-00007C3E0000}"/>
    <cellStyle name="SAPBEXresExc1Emph 2" xfId="16022" xr:uid="{00000000-0005-0000-0000-00007D3E0000}"/>
    <cellStyle name="SAPBEXresExc1Emph 3" xfId="16023" xr:uid="{00000000-0005-0000-0000-00007E3E0000}"/>
    <cellStyle name="SAPBEXresExc1Emph 4" xfId="16024" xr:uid="{00000000-0005-0000-0000-00007F3E0000}"/>
    <cellStyle name="SAPBEXresExc1Emph 5" xfId="16025" xr:uid="{00000000-0005-0000-0000-0000803E0000}"/>
    <cellStyle name="SAPBEXresExc1Emph 6" xfId="16026" xr:uid="{00000000-0005-0000-0000-0000813E0000}"/>
    <cellStyle name="SAPBEXresExc1Emph_Attachment A - calculations (updated)" xfId="16027" xr:uid="{00000000-0005-0000-0000-0000823E0000}"/>
    <cellStyle name="SAPBEXresExc2" xfId="16028" xr:uid="{00000000-0005-0000-0000-0000833E0000}"/>
    <cellStyle name="SAPBEXresExc2 2" xfId="16029" xr:uid="{00000000-0005-0000-0000-0000843E0000}"/>
    <cellStyle name="SAPBEXresExc2 3" xfId="16030" xr:uid="{00000000-0005-0000-0000-0000853E0000}"/>
    <cellStyle name="SAPBEXresExc2 4" xfId="16031" xr:uid="{00000000-0005-0000-0000-0000863E0000}"/>
    <cellStyle name="SAPBEXresExc2 5" xfId="16032" xr:uid="{00000000-0005-0000-0000-0000873E0000}"/>
    <cellStyle name="SAPBEXresExc2 6" xfId="16033" xr:uid="{00000000-0005-0000-0000-0000883E0000}"/>
    <cellStyle name="SAPBEXresExc2_Attachment A - calculations (updated)" xfId="16034" xr:uid="{00000000-0005-0000-0000-0000893E0000}"/>
    <cellStyle name="SAPBEXresExc2Emph" xfId="16035" xr:uid="{00000000-0005-0000-0000-00008A3E0000}"/>
    <cellStyle name="SAPBEXresExc2Emph 2" xfId="16036" xr:uid="{00000000-0005-0000-0000-00008B3E0000}"/>
    <cellStyle name="SAPBEXresExc2Emph 3" xfId="16037" xr:uid="{00000000-0005-0000-0000-00008C3E0000}"/>
    <cellStyle name="SAPBEXresExc2Emph 4" xfId="16038" xr:uid="{00000000-0005-0000-0000-00008D3E0000}"/>
    <cellStyle name="SAPBEXresExc2Emph 5" xfId="16039" xr:uid="{00000000-0005-0000-0000-00008E3E0000}"/>
    <cellStyle name="SAPBEXresExc2Emph 6" xfId="16040" xr:uid="{00000000-0005-0000-0000-00008F3E0000}"/>
    <cellStyle name="SAPBEXresExc2Emph_Attachment A - calculations (updated)" xfId="16041" xr:uid="{00000000-0005-0000-0000-0000903E0000}"/>
    <cellStyle name="SAPBEXresItem" xfId="16042" xr:uid="{00000000-0005-0000-0000-0000913E0000}"/>
    <cellStyle name="SAPBEXresItem 2" xfId="16043" xr:uid="{00000000-0005-0000-0000-0000923E0000}"/>
    <cellStyle name="SAPBEXresItem 3" xfId="16044" xr:uid="{00000000-0005-0000-0000-0000933E0000}"/>
    <cellStyle name="SAPBEXresItem 4" xfId="16045" xr:uid="{00000000-0005-0000-0000-0000943E0000}"/>
    <cellStyle name="SAPBEXresItem 5" xfId="16046" xr:uid="{00000000-0005-0000-0000-0000953E0000}"/>
    <cellStyle name="SAPBEXresItem 6" xfId="16047" xr:uid="{00000000-0005-0000-0000-0000963E0000}"/>
    <cellStyle name="SAPBEXresItem_Attachment A - calculations (updated)" xfId="16048" xr:uid="{00000000-0005-0000-0000-0000973E0000}"/>
    <cellStyle name="SAPBEXstdData" xfId="16049" xr:uid="{00000000-0005-0000-0000-0000983E0000}"/>
    <cellStyle name="SAPBEXstdData 2" xfId="16050" xr:uid="{00000000-0005-0000-0000-0000993E0000}"/>
    <cellStyle name="SAPBEXstdData 3" xfId="16051" xr:uid="{00000000-0005-0000-0000-00009A3E0000}"/>
    <cellStyle name="SAPBEXstdData 4" xfId="16052" xr:uid="{00000000-0005-0000-0000-00009B3E0000}"/>
    <cellStyle name="SAPBEXstdData 5" xfId="16053" xr:uid="{00000000-0005-0000-0000-00009C3E0000}"/>
    <cellStyle name="SAPBEXstdData 6" xfId="16054" xr:uid="{00000000-0005-0000-0000-00009D3E0000}"/>
    <cellStyle name="SAPBEXstdData_Attachment A - calculations (updated)" xfId="16055" xr:uid="{00000000-0005-0000-0000-00009E3E0000}"/>
    <cellStyle name="SAPBEXstdDataEmph" xfId="16056" xr:uid="{00000000-0005-0000-0000-00009F3E0000}"/>
    <cellStyle name="SAPBEXstdDataEmph 2" xfId="16057" xr:uid="{00000000-0005-0000-0000-0000A03E0000}"/>
    <cellStyle name="SAPBEXstdDataEmph 3" xfId="16058" xr:uid="{00000000-0005-0000-0000-0000A13E0000}"/>
    <cellStyle name="SAPBEXstdDataEmph 4" xfId="16059" xr:uid="{00000000-0005-0000-0000-0000A23E0000}"/>
    <cellStyle name="SAPBEXstdDataEmph 5" xfId="16060" xr:uid="{00000000-0005-0000-0000-0000A33E0000}"/>
    <cellStyle name="SAPBEXstdDataEmph 6" xfId="16061" xr:uid="{00000000-0005-0000-0000-0000A43E0000}"/>
    <cellStyle name="SAPBEXstdDataEmph_Attachment A - calculations (updated)" xfId="16062" xr:uid="{00000000-0005-0000-0000-0000A53E0000}"/>
    <cellStyle name="SAPBEXstdExc1" xfId="16063" xr:uid="{00000000-0005-0000-0000-0000A63E0000}"/>
    <cellStyle name="SAPBEXstdExc1 2" xfId="16064" xr:uid="{00000000-0005-0000-0000-0000A73E0000}"/>
    <cellStyle name="SAPBEXstdExc1 3" xfId="16065" xr:uid="{00000000-0005-0000-0000-0000A83E0000}"/>
    <cellStyle name="SAPBEXstdExc1 4" xfId="16066" xr:uid="{00000000-0005-0000-0000-0000A93E0000}"/>
    <cellStyle name="SAPBEXstdExc1 5" xfId="16067" xr:uid="{00000000-0005-0000-0000-0000AA3E0000}"/>
    <cellStyle name="SAPBEXstdExc1 6" xfId="16068" xr:uid="{00000000-0005-0000-0000-0000AB3E0000}"/>
    <cellStyle name="SAPBEXstdExc1_Attachment A - calculations (updated)" xfId="16069" xr:uid="{00000000-0005-0000-0000-0000AC3E0000}"/>
    <cellStyle name="SAPBEXstdExc1Emph" xfId="16070" xr:uid="{00000000-0005-0000-0000-0000AD3E0000}"/>
    <cellStyle name="SAPBEXstdExc1Emph 2" xfId="16071" xr:uid="{00000000-0005-0000-0000-0000AE3E0000}"/>
    <cellStyle name="SAPBEXstdExc1Emph 3" xfId="16072" xr:uid="{00000000-0005-0000-0000-0000AF3E0000}"/>
    <cellStyle name="SAPBEXstdExc1Emph 4" xfId="16073" xr:uid="{00000000-0005-0000-0000-0000B03E0000}"/>
    <cellStyle name="SAPBEXstdExc1Emph 5" xfId="16074" xr:uid="{00000000-0005-0000-0000-0000B13E0000}"/>
    <cellStyle name="SAPBEXstdExc1Emph 6" xfId="16075" xr:uid="{00000000-0005-0000-0000-0000B23E0000}"/>
    <cellStyle name="SAPBEXstdExc1Emph_Attachment A - calculations (updated)" xfId="16076" xr:uid="{00000000-0005-0000-0000-0000B33E0000}"/>
    <cellStyle name="SAPBEXstdExc2" xfId="16077" xr:uid="{00000000-0005-0000-0000-0000B43E0000}"/>
    <cellStyle name="SAPBEXstdExc2 2" xfId="16078" xr:uid="{00000000-0005-0000-0000-0000B53E0000}"/>
    <cellStyle name="SAPBEXstdExc2 3" xfId="16079" xr:uid="{00000000-0005-0000-0000-0000B63E0000}"/>
    <cellStyle name="SAPBEXstdExc2 4" xfId="16080" xr:uid="{00000000-0005-0000-0000-0000B73E0000}"/>
    <cellStyle name="SAPBEXstdExc2 5" xfId="16081" xr:uid="{00000000-0005-0000-0000-0000B83E0000}"/>
    <cellStyle name="SAPBEXstdExc2 6" xfId="16082" xr:uid="{00000000-0005-0000-0000-0000B93E0000}"/>
    <cellStyle name="SAPBEXstdExc2_Attachment A - calculations (updated)" xfId="16083" xr:uid="{00000000-0005-0000-0000-0000BA3E0000}"/>
    <cellStyle name="SAPBEXstdExc2Emph" xfId="16084" xr:uid="{00000000-0005-0000-0000-0000BB3E0000}"/>
    <cellStyle name="SAPBEXstdExc2Emph 2" xfId="16085" xr:uid="{00000000-0005-0000-0000-0000BC3E0000}"/>
    <cellStyle name="SAPBEXstdExc2Emph 3" xfId="16086" xr:uid="{00000000-0005-0000-0000-0000BD3E0000}"/>
    <cellStyle name="SAPBEXstdExc2Emph 4" xfId="16087" xr:uid="{00000000-0005-0000-0000-0000BE3E0000}"/>
    <cellStyle name="SAPBEXstdExc2Emph 5" xfId="16088" xr:uid="{00000000-0005-0000-0000-0000BF3E0000}"/>
    <cellStyle name="SAPBEXstdExc2Emph 6" xfId="16089" xr:uid="{00000000-0005-0000-0000-0000C03E0000}"/>
    <cellStyle name="SAPBEXstdExc2Emph_Attachment A - calculations (updated)" xfId="16090" xr:uid="{00000000-0005-0000-0000-0000C13E0000}"/>
    <cellStyle name="SAPBEXstdItem" xfId="16091" xr:uid="{00000000-0005-0000-0000-0000C23E0000}"/>
    <cellStyle name="SAPBEXstdItem 2" xfId="16092" xr:uid="{00000000-0005-0000-0000-0000C33E0000}"/>
    <cellStyle name="SAPBEXstdItem 3" xfId="16093" xr:uid="{00000000-0005-0000-0000-0000C43E0000}"/>
    <cellStyle name="SAPBEXstdItem 4" xfId="16094" xr:uid="{00000000-0005-0000-0000-0000C53E0000}"/>
    <cellStyle name="SAPBEXstdItem 5" xfId="16095" xr:uid="{00000000-0005-0000-0000-0000C63E0000}"/>
    <cellStyle name="SAPBEXstdItem 6" xfId="16096" xr:uid="{00000000-0005-0000-0000-0000C73E0000}"/>
    <cellStyle name="SAPBEXstdItem_Attachment A - calculations (updated)" xfId="16097" xr:uid="{00000000-0005-0000-0000-0000C83E0000}"/>
    <cellStyle name="SAPBEXstdItemHeader" xfId="16098" xr:uid="{00000000-0005-0000-0000-0000C93E0000}"/>
    <cellStyle name="SAPBEXstdItemHeader 2" xfId="16099" xr:uid="{00000000-0005-0000-0000-0000CA3E0000}"/>
    <cellStyle name="SAPBEXstdItemHeader 3" xfId="16100" xr:uid="{00000000-0005-0000-0000-0000CB3E0000}"/>
    <cellStyle name="SAPBEXstdItemHeader 4" xfId="16101" xr:uid="{00000000-0005-0000-0000-0000CC3E0000}"/>
    <cellStyle name="SAPBEXstdItemHeader 5" xfId="16102" xr:uid="{00000000-0005-0000-0000-0000CD3E0000}"/>
    <cellStyle name="SAPBEXstdItemHeader 6" xfId="16103" xr:uid="{00000000-0005-0000-0000-0000CE3E0000}"/>
    <cellStyle name="SAPBEXstdItemHeader_Attachment A - calculations (updated)" xfId="16104" xr:uid="{00000000-0005-0000-0000-0000CF3E0000}"/>
    <cellStyle name="SAPBEXstdItemLeft" xfId="16105" xr:uid="{00000000-0005-0000-0000-0000D03E0000}"/>
    <cellStyle name="SAPBEXstdItemLeft 2" xfId="16106" xr:uid="{00000000-0005-0000-0000-0000D13E0000}"/>
    <cellStyle name="SAPBEXstdItemLeft 3" xfId="16107" xr:uid="{00000000-0005-0000-0000-0000D23E0000}"/>
    <cellStyle name="SAPBEXstdItemLeft 4" xfId="16108" xr:uid="{00000000-0005-0000-0000-0000D33E0000}"/>
    <cellStyle name="SAPBEXstdItemLeft 5" xfId="16109" xr:uid="{00000000-0005-0000-0000-0000D43E0000}"/>
    <cellStyle name="SAPBEXstdItemLeft 6" xfId="16110" xr:uid="{00000000-0005-0000-0000-0000D53E0000}"/>
    <cellStyle name="SAPBEXstdItemLeft_Attachment A - calculations (updated)" xfId="16111" xr:uid="{00000000-0005-0000-0000-0000D63E0000}"/>
    <cellStyle name="SAPBEXstdItemLeftChart" xfId="16112" xr:uid="{00000000-0005-0000-0000-0000D73E0000}"/>
    <cellStyle name="SAPBEXstdItemLeftChart 2" xfId="16113" xr:uid="{00000000-0005-0000-0000-0000D83E0000}"/>
    <cellStyle name="SAPBEXstdItemLeftChart 3" xfId="16114" xr:uid="{00000000-0005-0000-0000-0000D93E0000}"/>
    <cellStyle name="SAPBEXstdItemLeftChart 4" xfId="16115" xr:uid="{00000000-0005-0000-0000-0000DA3E0000}"/>
    <cellStyle name="SAPBEXstdItemLeftChart 5" xfId="16116" xr:uid="{00000000-0005-0000-0000-0000DB3E0000}"/>
    <cellStyle name="SAPBEXstdItemLeftChart 6" xfId="16117" xr:uid="{00000000-0005-0000-0000-0000DC3E0000}"/>
    <cellStyle name="SAPBEXstdItemLeftChart_Attachment A - calculations (updated)" xfId="16118" xr:uid="{00000000-0005-0000-0000-0000DD3E0000}"/>
    <cellStyle name="SAPBEXsubData" xfId="16119" xr:uid="{00000000-0005-0000-0000-0000DE3E0000}"/>
    <cellStyle name="SAPBEXsubData 2" xfId="16120" xr:uid="{00000000-0005-0000-0000-0000DF3E0000}"/>
    <cellStyle name="SAPBEXsubData 3" xfId="16121" xr:uid="{00000000-0005-0000-0000-0000E03E0000}"/>
    <cellStyle name="SAPBEXsubData 4" xfId="16122" xr:uid="{00000000-0005-0000-0000-0000E13E0000}"/>
    <cellStyle name="SAPBEXsubData 5" xfId="16123" xr:uid="{00000000-0005-0000-0000-0000E23E0000}"/>
    <cellStyle name="SAPBEXsubData 6" xfId="16124" xr:uid="{00000000-0005-0000-0000-0000E33E0000}"/>
    <cellStyle name="SAPBEXsubData_Attachment A - calculations (updated)" xfId="16125" xr:uid="{00000000-0005-0000-0000-0000E43E0000}"/>
    <cellStyle name="SAPBEXsubDataEmph" xfId="16126" xr:uid="{00000000-0005-0000-0000-0000E53E0000}"/>
    <cellStyle name="SAPBEXsubDataEmph 2" xfId="16127" xr:uid="{00000000-0005-0000-0000-0000E63E0000}"/>
    <cellStyle name="SAPBEXsubDataEmph 3" xfId="16128" xr:uid="{00000000-0005-0000-0000-0000E73E0000}"/>
    <cellStyle name="SAPBEXsubDataEmph 4" xfId="16129" xr:uid="{00000000-0005-0000-0000-0000E83E0000}"/>
    <cellStyle name="SAPBEXsubDataEmph 5" xfId="16130" xr:uid="{00000000-0005-0000-0000-0000E93E0000}"/>
    <cellStyle name="SAPBEXsubDataEmph 6" xfId="16131" xr:uid="{00000000-0005-0000-0000-0000EA3E0000}"/>
    <cellStyle name="SAPBEXsubDataEmph_Attachment A - calculations (updated)" xfId="16132" xr:uid="{00000000-0005-0000-0000-0000EB3E0000}"/>
    <cellStyle name="SAPBEXsubExc1" xfId="16133" xr:uid="{00000000-0005-0000-0000-0000EC3E0000}"/>
    <cellStyle name="SAPBEXsubExc1 2" xfId="16134" xr:uid="{00000000-0005-0000-0000-0000ED3E0000}"/>
    <cellStyle name="SAPBEXsubExc1 3" xfId="16135" xr:uid="{00000000-0005-0000-0000-0000EE3E0000}"/>
    <cellStyle name="SAPBEXsubExc1 4" xfId="16136" xr:uid="{00000000-0005-0000-0000-0000EF3E0000}"/>
    <cellStyle name="SAPBEXsubExc1 5" xfId="16137" xr:uid="{00000000-0005-0000-0000-0000F03E0000}"/>
    <cellStyle name="SAPBEXsubExc1 6" xfId="16138" xr:uid="{00000000-0005-0000-0000-0000F13E0000}"/>
    <cellStyle name="SAPBEXsubExc1_Attachment A - calculations (updated)" xfId="16139" xr:uid="{00000000-0005-0000-0000-0000F23E0000}"/>
    <cellStyle name="SAPBEXsubExc1Emph" xfId="16140" xr:uid="{00000000-0005-0000-0000-0000F33E0000}"/>
    <cellStyle name="SAPBEXsubExc1Emph 2" xfId="16141" xr:uid="{00000000-0005-0000-0000-0000F43E0000}"/>
    <cellStyle name="SAPBEXsubExc1Emph 3" xfId="16142" xr:uid="{00000000-0005-0000-0000-0000F53E0000}"/>
    <cellStyle name="SAPBEXsubExc1Emph 4" xfId="16143" xr:uid="{00000000-0005-0000-0000-0000F63E0000}"/>
    <cellStyle name="SAPBEXsubExc1Emph 5" xfId="16144" xr:uid="{00000000-0005-0000-0000-0000F73E0000}"/>
    <cellStyle name="SAPBEXsubExc1Emph 6" xfId="16145" xr:uid="{00000000-0005-0000-0000-0000F83E0000}"/>
    <cellStyle name="SAPBEXsubExc1Emph_Attachment A - calculations (updated)" xfId="16146" xr:uid="{00000000-0005-0000-0000-0000F93E0000}"/>
    <cellStyle name="SAPBEXsubExc2" xfId="16147" xr:uid="{00000000-0005-0000-0000-0000FA3E0000}"/>
    <cellStyle name="SAPBEXsubExc2 2" xfId="16148" xr:uid="{00000000-0005-0000-0000-0000FB3E0000}"/>
    <cellStyle name="SAPBEXsubExc2 3" xfId="16149" xr:uid="{00000000-0005-0000-0000-0000FC3E0000}"/>
    <cellStyle name="SAPBEXsubExc2 4" xfId="16150" xr:uid="{00000000-0005-0000-0000-0000FD3E0000}"/>
    <cellStyle name="SAPBEXsubExc2 5" xfId="16151" xr:uid="{00000000-0005-0000-0000-0000FE3E0000}"/>
    <cellStyle name="SAPBEXsubExc2 6" xfId="16152" xr:uid="{00000000-0005-0000-0000-0000FF3E0000}"/>
    <cellStyle name="SAPBEXsubExc2_Attachment A - calculations (updated)" xfId="16153" xr:uid="{00000000-0005-0000-0000-0000003F0000}"/>
    <cellStyle name="SAPBEXsubExc2Emph" xfId="16154" xr:uid="{00000000-0005-0000-0000-0000013F0000}"/>
    <cellStyle name="SAPBEXsubExc2Emph 2" xfId="16155" xr:uid="{00000000-0005-0000-0000-0000023F0000}"/>
    <cellStyle name="SAPBEXsubExc2Emph 3" xfId="16156" xr:uid="{00000000-0005-0000-0000-0000033F0000}"/>
    <cellStyle name="SAPBEXsubExc2Emph 4" xfId="16157" xr:uid="{00000000-0005-0000-0000-0000043F0000}"/>
    <cellStyle name="SAPBEXsubExc2Emph 5" xfId="16158" xr:uid="{00000000-0005-0000-0000-0000053F0000}"/>
    <cellStyle name="SAPBEXsubExc2Emph 6" xfId="16159" xr:uid="{00000000-0005-0000-0000-0000063F0000}"/>
    <cellStyle name="SAPBEXsubExc2Emph_Attachment A - calculations (updated)" xfId="16160" xr:uid="{00000000-0005-0000-0000-0000073F0000}"/>
    <cellStyle name="SAPBEXsubItem" xfId="16161" xr:uid="{00000000-0005-0000-0000-0000083F0000}"/>
    <cellStyle name="SAPBEXsubItem 2" xfId="16162" xr:uid="{00000000-0005-0000-0000-0000093F0000}"/>
    <cellStyle name="SAPBEXsubItem 3" xfId="16163" xr:uid="{00000000-0005-0000-0000-00000A3F0000}"/>
    <cellStyle name="SAPBEXsubItem 4" xfId="16164" xr:uid="{00000000-0005-0000-0000-00000B3F0000}"/>
    <cellStyle name="SAPBEXsubItem 5" xfId="16165" xr:uid="{00000000-0005-0000-0000-00000C3F0000}"/>
    <cellStyle name="SAPBEXsubItem 6" xfId="16166" xr:uid="{00000000-0005-0000-0000-00000D3F0000}"/>
    <cellStyle name="SAPBEXsubItem_Attachment A - calculations (updated)" xfId="16167" xr:uid="{00000000-0005-0000-0000-00000E3F0000}"/>
    <cellStyle name="SAPBEXtitle" xfId="16168" xr:uid="{00000000-0005-0000-0000-00000F3F0000}"/>
    <cellStyle name="SAPBEXtitle 2" xfId="16169" xr:uid="{00000000-0005-0000-0000-0000103F0000}"/>
    <cellStyle name="SAPBEXtitle 3" xfId="16170" xr:uid="{00000000-0005-0000-0000-0000113F0000}"/>
    <cellStyle name="SAPBEXtitle 4" xfId="16171" xr:uid="{00000000-0005-0000-0000-0000123F0000}"/>
    <cellStyle name="SAPBEXtitle 5" xfId="16172" xr:uid="{00000000-0005-0000-0000-0000133F0000}"/>
    <cellStyle name="SAPBEXtitle 6" xfId="16173" xr:uid="{00000000-0005-0000-0000-0000143F0000}"/>
    <cellStyle name="SAPBEXundefined" xfId="16174" xr:uid="{00000000-0005-0000-0000-0000153F0000}"/>
    <cellStyle name="SAPBEXundefined 2" xfId="16175" xr:uid="{00000000-0005-0000-0000-0000163F0000}"/>
    <cellStyle name="SAPBEXundefined 3" xfId="16176" xr:uid="{00000000-0005-0000-0000-0000173F0000}"/>
    <cellStyle name="SAPBEXundefined 4" xfId="16177" xr:uid="{00000000-0005-0000-0000-0000183F0000}"/>
    <cellStyle name="SAPBEXundefined 5" xfId="16178" xr:uid="{00000000-0005-0000-0000-0000193F0000}"/>
    <cellStyle name="SAPBEXundefined 6" xfId="16179" xr:uid="{00000000-0005-0000-0000-00001A3F0000}"/>
    <cellStyle name="SAPBEXundefined_Attachment A - calculations (updated)" xfId="16180" xr:uid="{00000000-0005-0000-0000-00001B3F0000}"/>
    <cellStyle name="Shaded" xfId="16181" xr:uid="{00000000-0005-0000-0000-00001C3F0000}"/>
    <cellStyle name="Shading" xfId="16182" xr:uid="{00000000-0005-0000-0000-00001D3F0000}"/>
    <cellStyle name="Sheet Title" xfId="16183" xr:uid="{00000000-0005-0000-0000-00001E3F0000}"/>
    <cellStyle name="SMALL HEADINGS" xfId="16184" xr:uid="{00000000-0005-0000-0000-00001F3F0000}"/>
    <cellStyle name="Style 1" xfId="3151" xr:uid="{00000000-0005-0000-0000-0000203F0000}"/>
    <cellStyle name="Style 1 10" xfId="16185" xr:uid="{00000000-0005-0000-0000-0000213F0000}"/>
    <cellStyle name="Style 1 11" xfId="16186" xr:uid="{00000000-0005-0000-0000-0000223F0000}"/>
    <cellStyle name="Style 1 2" xfId="3152" xr:uid="{00000000-0005-0000-0000-0000233F0000}"/>
    <cellStyle name="Style 1 2 2" xfId="3153" xr:uid="{00000000-0005-0000-0000-0000243F0000}"/>
    <cellStyle name="Style 1 2 2 2" xfId="16187" xr:uid="{00000000-0005-0000-0000-0000253F0000}"/>
    <cellStyle name="Style 1 2 2 3" xfId="16188" xr:uid="{00000000-0005-0000-0000-0000263F0000}"/>
    <cellStyle name="Style 1 2 2 4" xfId="16189" xr:uid="{00000000-0005-0000-0000-0000273F0000}"/>
    <cellStyle name="Style 1 2 3" xfId="16190" xr:uid="{00000000-0005-0000-0000-0000283F0000}"/>
    <cellStyle name="Style 1 2 4" xfId="16191" xr:uid="{00000000-0005-0000-0000-0000293F0000}"/>
    <cellStyle name="Style 1 2 5" xfId="16192" xr:uid="{00000000-0005-0000-0000-00002A3F0000}"/>
    <cellStyle name="Style 1 2 6" xfId="16193" xr:uid="{00000000-0005-0000-0000-00002B3F0000}"/>
    <cellStyle name="Style 1 2 7" xfId="16194" xr:uid="{00000000-0005-0000-0000-00002C3F0000}"/>
    <cellStyle name="Style 1 2 8" xfId="16195" xr:uid="{00000000-0005-0000-0000-00002D3F0000}"/>
    <cellStyle name="Style 1 2_Actual" xfId="16196" xr:uid="{00000000-0005-0000-0000-00002E3F0000}"/>
    <cellStyle name="Style 1 3" xfId="3154" xr:uid="{00000000-0005-0000-0000-00002F3F0000}"/>
    <cellStyle name="Style 1 3 10" xfId="16197" xr:uid="{00000000-0005-0000-0000-0000303F0000}"/>
    <cellStyle name="Style 1 3 11" xfId="16198" xr:uid="{00000000-0005-0000-0000-0000313F0000}"/>
    <cellStyle name="Style 1 3 2" xfId="3155" xr:uid="{00000000-0005-0000-0000-0000323F0000}"/>
    <cellStyle name="Style 1 3 2 2" xfId="3156" xr:uid="{00000000-0005-0000-0000-0000333F0000}"/>
    <cellStyle name="Style 1 3 3" xfId="3157" xr:uid="{00000000-0005-0000-0000-0000343F0000}"/>
    <cellStyle name="Style 1 3 3 2" xfId="3158" xr:uid="{00000000-0005-0000-0000-0000353F0000}"/>
    <cellStyle name="Style 1 3 4" xfId="3159" xr:uid="{00000000-0005-0000-0000-0000363F0000}"/>
    <cellStyle name="Style 1 3 4 2" xfId="3160" xr:uid="{00000000-0005-0000-0000-0000373F0000}"/>
    <cellStyle name="Style 1 3 5" xfId="3161" xr:uid="{00000000-0005-0000-0000-0000383F0000}"/>
    <cellStyle name="Style 1 3 5 2" xfId="3162" xr:uid="{00000000-0005-0000-0000-0000393F0000}"/>
    <cellStyle name="Style 1 3 6" xfId="3163" xr:uid="{00000000-0005-0000-0000-00003A3F0000}"/>
    <cellStyle name="Style 1 3 7" xfId="16199" xr:uid="{00000000-0005-0000-0000-00003B3F0000}"/>
    <cellStyle name="Style 1 3 8" xfId="16200" xr:uid="{00000000-0005-0000-0000-00003C3F0000}"/>
    <cellStyle name="Style 1 3 9" xfId="16201" xr:uid="{00000000-0005-0000-0000-00003D3F0000}"/>
    <cellStyle name="Style 1 4" xfId="3164" xr:uid="{00000000-0005-0000-0000-00003E3F0000}"/>
    <cellStyle name="Style 1 4 2" xfId="3165" xr:uid="{00000000-0005-0000-0000-00003F3F0000}"/>
    <cellStyle name="Style 1 4 2 2" xfId="16202" xr:uid="{00000000-0005-0000-0000-0000403F0000}"/>
    <cellStyle name="Style 1 4 2 3" xfId="16203" xr:uid="{00000000-0005-0000-0000-0000413F0000}"/>
    <cellStyle name="Style 1 4 2 4" xfId="16204" xr:uid="{00000000-0005-0000-0000-0000423F0000}"/>
    <cellStyle name="Style 1 4 3" xfId="16205" xr:uid="{00000000-0005-0000-0000-0000433F0000}"/>
    <cellStyle name="Style 1 4 4" xfId="16206" xr:uid="{00000000-0005-0000-0000-0000443F0000}"/>
    <cellStyle name="Style 1 4 5" xfId="16207" xr:uid="{00000000-0005-0000-0000-0000453F0000}"/>
    <cellStyle name="Style 1 4 6" xfId="16208" xr:uid="{00000000-0005-0000-0000-0000463F0000}"/>
    <cellStyle name="Style 1 4 7" xfId="16209" xr:uid="{00000000-0005-0000-0000-0000473F0000}"/>
    <cellStyle name="Style 1 4_Actual" xfId="16210" xr:uid="{00000000-0005-0000-0000-0000483F0000}"/>
    <cellStyle name="Style 1 5" xfId="3166" xr:uid="{00000000-0005-0000-0000-0000493F0000}"/>
    <cellStyle name="Style 1 5 2" xfId="3167" xr:uid="{00000000-0005-0000-0000-00004A3F0000}"/>
    <cellStyle name="Style 1 6" xfId="3168" xr:uid="{00000000-0005-0000-0000-00004B3F0000}"/>
    <cellStyle name="Style 1 6 2" xfId="3169" xr:uid="{00000000-0005-0000-0000-00004C3F0000}"/>
    <cellStyle name="Style 1 7" xfId="3170" xr:uid="{00000000-0005-0000-0000-00004D3F0000}"/>
    <cellStyle name="Style 1 7 2" xfId="3171" xr:uid="{00000000-0005-0000-0000-00004E3F0000}"/>
    <cellStyle name="Style 1 8" xfId="16211" xr:uid="{00000000-0005-0000-0000-00004F3F0000}"/>
    <cellStyle name="Style 1 9" xfId="16212" xr:uid="{00000000-0005-0000-0000-0000503F0000}"/>
    <cellStyle name="Style 1_Actual" xfId="16213" xr:uid="{00000000-0005-0000-0000-0000513F0000}"/>
    <cellStyle name="Style 21" xfId="16214" xr:uid="{00000000-0005-0000-0000-0000523F0000}"/>
    <cellStyle name="Style 21 10" xfId="16215" xr:uid="{00000000-0005-0000-0000-0000533F0000}"/>
    <cellStyle name="Style 21 11" xfId="16216" xr:uid="{00000000-0005-0000-0000-0000543F0000}"/>
    <cellStyle name="Style 21 12" xfId="16217" xr:uid="{00000000-0005-0000-0000-0000553F0000}"/>
    <cellStyle name="Style 21 13" xfId="16218" xr:uid="{00000000-0005-0000-0000-0000563F0000}"/>
    <cellStyle name="Style 21 14" xfId="16219" xr:uid="{00000000-0005-0000-0000-0000573F0000}"/>
    <cellStyle name="Style 21 15" xfId="16220" xr:uid="{00000000-0005-0000-0000-0000583F0000}"/>
    <cellStyle name="Style 21 16" xfId="16221" xr:uid="{00000000-0005-0000-0000-0000593F0000}"/>
    <cellStyle name="Style 21 17" xfId="16222" xr:uid="{00000000-0005-0000-0000-00005A3F0000}"/>
    <cellStyle name="Style 21 18" xfId="16223" xr:uid="{00000000-0005-0000-0000-00005B3F0000}"/>
    <cellStyle name="Style 21 19" xfId="16224" xr:uid="{00000000-0005-0000-0000-00005C3F0000}"/>
    <cellStyle name="Style 21 2" xfId="16225" xr:uid="{00000000-0005-0000-0000-00005D3F0000}"/>
    <cellStyle name="Style 21 20" xfId="16226" xr:uid="{00000000-0005-0000-0000-00005E3F0000}"/>
    <cellStyle name="Style 21 21" xfId="16227" xr:uid="{00000000-0005-0000-0000-00005F3F0000}"/>
    <cellStyle name="Style 21 3" xfId="16228" xr:uid="{00000000-0005-0000-0000-0000603F0000}"/>
    <cellStyle name="Style 21 4" xfId="16229" xr:uid="{00000000-0005-0000-0000-0000613F0000}"/>
    <cellStyle name="Style 21 5" xfId="16230" xr:uid="{00000000-0005-0000-0000-0000623F0000}"/>
    <cellStyle name="Style 21 6" xfId="16231" xr:uid="{00000000-0005-0000-0000-0000633F0000}"/>
    <cellStyle name="Style 21 7" xfId="16232" xr:uid="{00000000-0005-0000-0000-0000643F0000}"/>
    <cellStyle name="Style 21 8" xfId="16233" xr:uid="{00000000-0005-0000-0000-0000653F0000}"/>
    <cellStyle name="Style 21 9" xfId="16234" xr:uid="{00000000-0005-0000-0000-0000663F0000}"/>
    <cellStyle name="Style 22" xfId="16235" xr:uid="{00000000-0005-0000-0000-0000673F0000}"/>
    <cellStyle name="Style 22 10" xfId="16236" xr:uid="{00000000-0005-0000-0000-0000683F0000}"/>
    <cellStyle name="Style 22 11" xfId="16237" xr:uid="{00000000-0005-0000-0000-0000693F0000}"/>
    <cellStyle name="Style 22 12" xfId="16238" xr:uid="{00000000-0005-0000-0000-00006A3F0000}"/>
    <cellStyle name="Style 22 13" xfId="16239" xr:uid="{00000000-0005-0000-0000-00006B3F0000}"/>
    <cellStyle name="Style 22 14" xfId="16240" xr:uid="{00000000-0005-0000-0000-00006C3F0000}"/>
    <cellStyle name="Style 22 15" xfId="16241" xr:uid="{00000000-0005-0000-0000-00006D3F0000}"/>
    <cellStyle name="Style 22 16" xfId="16242" xr:uid="{00000000-0005-0000-0000-00006E3F0000}"/>
    <cellStyle name="Style 22 17" xfId="16243" xr:uid="{00000000-0005-0000-0000-00006F3F0000}"/>
    <cellStyle name="Style 22 18" xfId="16244" xr:uid="{00000000-0005-0000-0000-0000703F0000}"/>
    <cellStyle name="Style 22 19" xfId="16245" xr:uid="{00000000-0005-0000-0000-0000713F0000}"/>
    <cellStyle name="Style 22 2" xfId="16246" xr:uid="{00000000-0005-0000-0000-0000723F0000}"/>
    <cellStyle name="Style 22 20" xfId="16247" xr:uid="{00000000-0005-0000-0000-0000733F0000}"/>
    <cellStyle name="Style 22 21" xfId="16248" xr:uid="{00000000-0005-0000-0000-0000743F0000}"/>
    <cellStyle name="Style 22 3" xfId="16249" xr:uid="{00000000-0005-0000-0000-0000753F0000}"/>
    <cellStyle name="Style 22 4" xfId="16250" xr:uid="{00000000-0005-0000-0000-0000763F0000}"/>
    <cellStyle name="Style 22 5" xfId="16251" xr:uid="{00000000-0005-0000-0000-0000773F0000}"/>
    <cellStyle name="Style 22 6" xfId="16252" xr:uid="{00000000-0005-0000-0000-0000783F0000}"/>
    <cellStyle name="Style 22 7" xfId="16253" xr:uid="{00000000-0005-0000-0000-0000793F0000}"/>
    <cellStyle name="Style 22 8" xfId="16254" xr:uid="{00000000-0005-0000-0000-00007A3F0000}"/>
    <cellStyle name="Style 22 9" xfId="16255" xr:uid="{00000000-0005-0000-0000-00007B3F0000}"/>
    <cellStyle name="Style 23" xfId="16256" xr:uid="{00000000-0005-0000-0000-00007C3F0000}"/>
    <cellStyle name="Style 23 10" xfId="16257" xr:uid="{00000000-0005-0000-0000-00007D3F0000}"/>
    <cellStyle name="Style 23 11" xfId="16258" xr:uid="{00000000-0005-0000-0000-00007E3F0000}"/>
    <cellStyle name="Style 23 12" xfId="16259" xr:uid="{00000000-0005-0000-0000-00007F3F0000}"/>
    <cellStyle name="Style 23 13" xfId="16260" xr:uid="{00000000-0005-0000-0000-0000803F0000}"/>
    <cellStyle name="Style 23 14" xfId="16261" xr:uid="{00000000-0005-0000-0000-0000813F0000}"/>
    <cellStyle name="Style 23 15" xfId="16262" xr:uid="{00000000-0005-0000-0000-0000823F0000}"/>
    <cellStyle name="Style 23 16" xfId="16263" xr:uid="{00000000-0005-0000-0000-0000833F0000}"/>
    <cellStyle name="Style 23 17" xfId="16264" xr:uid="{00000000-0005-0000-0000-0000843F0000}"/>
    <cellStyle name="Style 23 18" xfId="16265" xr:uid="{00000000-0005-0000-0000-0000853F0000}"/>
    <cellStyle name="Style 23 19" xfId="16266" xr:uid="{00000000-0005-0000-0000-0000863F0000}"/>
    <cellStyle name="Style 23 2" xfId="16267" xr:uid="{00000000-0005-0000-0000-0000873F0000}"/>
    <cellStyle name="Style 23 20" xfId="16268" xr:uid="{00000000-0005-0000-0000-0000883F0000}"/>
    <cellStyle name="Style 23 21" xfId="16269" xr:uid="{00000000-0005-0000-0000-0000893F0000}"/>
    <cellStyle name="Style 23 22" xfId="16270" xr:uid="{00000000-0005-0000-0000-00008A3F0000}"/>
    <cellStyle name="Style 23 23" xfId="16271" xr:uid="{00000000-0005-0000-0000-00008B3F0000}"/>
    <cellStyle name="Style 23 24" xfId="16272" xr:uid="{00000000-0005-0000-0000-00008C3F0000}"/>
    <cellStyle name="Style 23 25" xfId="16273" xr:uid="{00000000-0005-0000-0000-00008D3F0000}"/>
    <cellStyle name="Style 23 26" xfId="16274" xr:uid="{00000000-0005-0000-0000-00008E3F0000}"/>
    <cellStyle name="Style 23 27" xfId="16275" xr:uid="{00000000-0005-0000-0000-00008F3F0000}"/>
    <cellStyle name="Style 23 28" xfId="16276" xr:uid="{00000000-0005-0000-0000-0000903F0000}"/>
    <cellStyle name="Style 23 29" xfId="16277" xr:uid="{00000000-0005-0000-0000-0000913F0000}"/>
    <cellStyle name="Style 23 3" xfId="16278" xr:uid="{00000000-0005-0000-0000-0000923F0000}"/>
    <cellStyle name="Style 23 30" xfId="16279" xr:uid="{00000000-0005-0000-0000-0000933F0000}"/>
    <cellStyle name="Style 23 4" xfId="16280" xr:uid="{00000000-0005-0000-0000-0000943F0000}"/>
    <cellStyle name="Style 23 5" xfId="16281" xr:uid="{00000000-0005-0000-0000-0000953F0000}"/>
    <cellStyle name="Style 23 6" xfId="16282" xr:uid="{00000000-0005-0000-0000-0000963F0000}"/>
    <cellStyle name="Style 23 7" xfId="16283" xr:uid="{00000000-0005-0000-0000-0000973F0000}"/>
    <cellStyle name="Style 23 8" xfId="16284" xr:uid="{00000000-0005-0000-0000-0000983F0000}"/>
    <cellStyle name="Style 23 9" xfId="16285" xr:uid="{00000000-0005-0000-0000-0000993F0000}"/>
    <cellStyle name="Style 24" xfId="16286" xr:uid="{00000000-0005-0000-0000-00009A3F0000}"/>
    <cellStyle name="Style 24 10" xfId="16287" xr:uid="{00000000-0005-0000-0000-00009B3F0000}"/>
    <cellStyle name="Style 24 11" xfId="16288" xr:uid="{00000000-0005-0000-0000-00009C3F0000}"/>
    <cellStyle name="Style 24 12" xfId="16289" xr:uid="{00000000-0005-0000-0000-00009D3F0000}"/>
    <cellStyle name="Style 24 13" xfId="16290" xr:uid="{00000000-0005-0000-0000-00009E3F0000}"/>
    <cellStyle name="Style 24 14" xfId="16291" xr:uid="{00000000-0005-0000-0000-00009F3F0000}"/>
    <cellStyle name="Style 24 15" xfId="16292" xr:uid="{00000000-0005-0000-0000-0000A03F0000}"/>
    <cellStyle name="Style 24 16" xfId="16293" xr:uid="{00000000-0005-0000-0000-0000A13F0000}"/>
    <cellStyle name="Style 24 17" xfId="16294" xr:uid="{00000000-0005-0000-0000-0000A23F0000}"/>
    <cellStyle name="Style 24 18" xfId="16295" xr:uid="{00000000-0005-0000-0000-0000A33F0000}"/>
    <cellStyle name="Style 24 19" xfId="16296" xr:uid="{00000000-0005-0000-0000-0000A43F0000}"/>
    <cellStyle name="Style 24 2" xfId="16297" xr:uid="{00000000-0005-0000-0000-0000A53F0000}"/>
    <cellStyle name="Style 24 20" xfId="16298" xr:uid="{00000000-0005-0000-0000-0000A63F0000}"/>
    <cellStyle name="Style 24 21" xfId="16299" xr:uid="{00000000-0005-0000-0000-0000A73F0000}"/>
    <cellStyle name="Style 24 22" xfId="16300" xr:uid="{00000000-0005-0000-0000-0000A83F0000}"/>
    <cellStyle name="Style 24 23" xfId="16301" xr:uid="{00000000-0005-0000-0000-0000A93F0000}"/>
    <cellStyle name="Style 24 24" xfId="16302" xr:uid="{00000000-0005-0000-0000-0000AA3F0000}"/>
    <cellStyle name="Style 24 25" xfId="16303" xr:uid="{00000000-0005-0000-0000-0000AB3F0000}"/>
    <cellStyle name="Style 24 26" xfId="16304" xr:uid="{00000000-0005-0000-0000-0000AC3F0000}"/>
    <cellStyle name="Style 24 27" xfId="16305" xr:uid="{00000000-0005-0000-0000-0000AD3F0000}"/>
    <cellStyle name="Style 24 28" xfId="16306" xr:uid="{00000000-0005-0000-0000-0000AE3F0000}"/>
    <cellStyle name="Style 24 29" xfId="16307" xr:uid="{00000000-0005-0000-0000-0000AF3F0000}"/>
    <cellStyle name="Style 24 3" xfId="16308" xr:uid="{00000000-0005-0000-0000-0000B03F0000}"/>
    <cellStyle name="Style 24 30" xfId="16309" xr:uid="{00000000-0005-0000-0000-0000B13F0000}"/>
    <cellStyle name="Style 24 4" xfId="16310" xr:uid="{00000000-0005-0000-0000-0000B23F0000}"/>
    <cellStyle name="Style 24 5" xfId="16311" xr:uid="{00000000-0005-0000-0000-0000B33F0000}"/>
    <cellStyle name="Style 24 6" xfId="16312" xr:uid="{00000000-0005-0000-0000-0000B43F0000}"/>
    <cellStyle name="Style 24 7" xfId="16313" xr:uid="{00000000-0005-0000-0000-0000B53F0000}"/>
    <cellStyle name="Style 24 8" xfId="16314" xr:uid="{00000000-0005-0000-0000-0000B63F0000}"/>
    <cellStyle name="Style 24 9" xfId="16315" xr:uid="{00000000-0005-0000-0000-0000B73F0000}"/>
    <cellStyle name="Style 25" xfId="16316" xr:uid="{00000000-0005-0000-0000-0000B83F0000}"/>
    <cellStyle name="Style 25 10" xfId="16317" xr:uid="{00000000-0005-0000-0000-0000B93F0000}"/>
    <cellStyle name="Style 25 11" xfId="16318" xr:uid="{00000000-0005-0000-0000-0000BA3F0000}"/>
    <cellStyle name="Style 25 12" xfId="16319" xr:uid="{00000000-0005-0000-0000-0000BB3F0000}"/>
    <cellStyle name="Style 25 13" xfId="16320" xr:uid="{00000000-0005-0000-0000-0000BC3F0000}"/>
    <cellStyle name="Style 25 14" xfId="16321" xr:uid="{00000000-0005-0000-0000-0000BD3F0000}"/>
    <cellStyle name="Style 25 15" xfId="16322" xr:uid="{00000000-0005-0000-0000-0000BE3F0000}"/>
    <cellStyle name="Style 25 16" xfId="16323" xr:uid="{00000000-0005-0000-0000-0000BF3F0000}"/>
    <cellStyle name="Style 25 17" xfId="16324" xr:uid="{00000000-0005-0000-0000-0000C03F0000}"/>
    <cellStyle name="Style 25 18" xfId="16325" xr:uid="{00000000-0005-0000-0000-0000C13F0000}"/>
    <cellStyle name="Style 25 19" xfId="16326" xr:uid="{00000000-0005-0000-0000-0000C23F0000}"/>
    <cellStyle name="Style 25 2" xfId="16327" xr:uid="{00000000-0005-0000-0000-0000C33F0000}"/>
    <cellStyle name="Style 25 20" xfId="16328" xr:uid="{00000000-0005-0000-0000-0000C43F0000}"/>
    <cellStyle name="Style 25 21" xfId="16329" xr:uid="{00000000-0005-0000-0000-0000C53F0000}"/>
    <cellStyle name="Style 25 22" xfId="16330" xr:uid="{00000000-0005-0000-0000-0000C63F0000}"/>
    <cellStyle name="Style 25 23" xfId="16331" xr:uid="{00000000-0005-0000-0000-0000C73F0000}"/>
    <cellStyle name="Style 25 24" xfId="16332" xr:uid="{00000000-0005-0000-0000-0000C83F0000}"/>
    <cellStyle name="Style 25 25" xfId="16333" xr:uid="{00000000-0005-0000-0000-0000C93F0000}"/>
    <cellStyle name="Style 25 26" xfId="16334" xr:uid="{00000000-0005-0000-0000-0000CA3F0000}"/>
    <cellStyle name="Style 25 27" xfId="16335" xr:uid="{00000000-0005-0000-0000-0000CB3F0000}"/>
    <cellStyle name="Style 25 28" xfId="16336" xr:uid="{00000000-0005-0000-0000-0000CC3F0000}"/>
    <cellStyle name="Style 25 29" xfId="16337" xr:uid="{00000000-0005-0000-0000-0000CD3F0000}"/>
    <cellStyle name="Style 25 3" xfId="16338" xr:uid="{00000000-0005-0000-0000-0000CE3F0000}"/>
    <cellStyle name="Style 25 30" xfId="16339" xr:uid="{00000000-0005-0000-0000-0000CF3F0000}"/>
    <cellStyle name="Style 25 4" xfId="16340" xr:uid="{00000000-0005-0000-0000-0000D03F0000}"/>
    <cellStyle name="Style 25 5" xfId="16341" xr:uid="{00000000-0005-0000-0000-0000D13F0000}"/>
    <cellStyle name="Style 25 6" xfId="16342" xr:uid="{00000000-0005-0000-0000-0000D23F0000}"/>
    <cellStyle name="Style 25 7" xfId="16343" xr:uid="{00000000-0005-0000-0000-0000D33F0000}"/>
    <cellStyle name="Style 25 8" xfId="16344" xr:uid="{00000000-0005-0000-0000-0000D43F0000}"/>
    <cellStyle name="Style 25 9" xfId="16345" xr:uid="{00000000-0005-0000-0000-0000D53F0000}"/>
    <cellStyle name="Style 26" xfId="16346" xr:uid="{00000000-0005-0000-0000-0000D63F0000}"/>
    <cellStyle name="Style 26 10" xfId="16347" xr:uid="{00000000-0005-0000-0000-0000D73F0000}"/>
    <cellStyle name="Style 26 11" xfId="16348" xr:uid="{00000000-0005-0000-0000-0000D83F0000}"/>
    <cellStyle name="Style 26 12" xfId="16349" xr:uid="{00000000-0005-0000-0000-0000D93F0000}"/>
    <cellStyle name="Style 26 13" xfId="16350" xr:uid="{00000000-0005-0000-0000-0000DA3F0000}"/>
    <cellStyle name="Style 26 14" xfId="16351" xr:uid="{00000000-0005-0000-0000-0000DB3F0000}"/>
    <cellStyle name="Style 26 15" xfId="16352" xr:uid="{00000000-0005-0000-0000-0000DC3F0000}"/>
    <cellStyle name="Style 26 16" xfId="16353" xr:uid="{00000000-0005-0000-0000-0000DD3F0000}"/>
    <cellStyle name="Style 26 17" xfId="16354" xr:uid="{00000000-0005-0000-0000-0000DE3F0000}"/>
    <cellStyle name="Style 26 18" xfId="16355" xr:uid="{00000000-0005-0000-0000-0000DF3F0000}"/>
    <cellStyle name="Style 26 19" xfId="16356" xr:uid="{00000000-0005-0000-0000-0000E03F0000}"/>
    <cellStyle name="Style 26 2" xfId="16357" xr:uid="{00000000-0005-0000-0000-0000E13F0000}"/>
    <cellStyle name="Style 26 20" xfId="16358" xr:uid="{00000000-0005-0000-0000-0000E23F0000}"/>
    <cellStyle name="Style 26 21" xfId="16359" xr:uid="{00000000-0005-0000-0000-0000E33F0000}"/>
    <cellStyle name="Style 26 22" xfId="16360" xr:uid="{00000000-0005-0000-0000-0000E43F0000}"/>
    <cellStyle name="Style 26 23" xfId="16361" xr:uid="{00000000-0005-0000-0000-0000E53F0000}"/>
    <cellStyle name="Style 26 24" xfId="16362" xr:uid="{00000000-0005-0000-0000-0000E63F0000}"/>
    <cellStyle name="Style 26 25" xfId="16363" xr:uid="{00000000-0005-0000-0000-0000E73F0000}"/>
    <cellStyle name="Style 26 26" xfId="16364" xr:uid="{00000000-0005-0000-0000-0000E83F0000}"/>
    <cellStyle name="Style 26 27" xfId="16365" xr:uid="{00000000-0005-0000-0000-0000E93F0000}"/>
    <cellStyle name="Style 26 28" xfId="16366" xr:uid="{00000000-0005-0000-0000-0000EA3F0000}"/>
    <cellStyle name="Style 26 29" xfId="16367" xr:uid="{00000000-0005-0000-0000-0000EB3F0000}"/>
    <cellStyle name="Style 26 3" xfId="16368" xr:uid="{00000000-0005-0000-0000-0000EC3F0000}"/>
    <cellStyle name="Style 26 30" xfId="16369" xr:uid="{00000000-0005-0000-0000-0000ED3F0000}"/>
    <cellStyle name="Style 26 4" xfId="16370" xr:uid="{00000000-0005-0000-0000-0000EE3F0000}"/>
    <cellStyle name="Style 26 5" xfId="16371" xr:uid="{00000000-0005-0000-0000-0000EF3F0000}"/>
    <cellStyle name="Style 26 6" xfId="16372" xr:uid="{00000000-0005-0000-0000-0000F03F0000}"/>
    <cellStyle name="Style 26 7" xfId="16373" xr:uid="{00000000-0005-0000-0000-0000F13F0000}"/>
    <cellStyle name="Style 26 8" xfId="16374" xr:uid="{00000000-0005-0000-0000-0000F23F0000}"/>
    <cellStyle name="Style 26 9" xfId="16375" xr:uid="{00000000-0005-0000-0000-0000F33F0000}"/>
    <cellStyle name="Style 27" xfId="16376" xr:uid="{00000000-0005-0000-0000-0000F43F0000}"/>
    <cellStyle name="Style 27 10" xfId="16377" xr:uid="{00000000-0005-0000-0000-0000F53F0000}"/>
    <cellStyle name="Style 27 11" xfId="16378" xr:uid="{00000000-0005-0000-0000-0000F63F0000}"/>
    <cellStyle name="Style 27 12" xfId="16379" xr:uid="{00000000-0005-0000-0000-0000F73F0000}"/>
    <cellStyle name="Style 27 13" xfId="16380" xr:uid="{00000000-0005-0000-0000-0000F83F0000}"/>
    <cellStyle name="Style 27 14" xfId="16381" xr:uid="{00000000-0005-0000-0000-0000F93F0000}"/>
    <cellStyle name="Style 27 15" xfId="16382" xr:uid="{00000000-0005-0000-0000-0000FA3F0000}"/>
    <cellStyle name="Style 27 16" xfId="16383" xr:uid="{00000000-0005-0000-0000-0000FB3F0000}"/>
    <cellStyle name="Style 27 17" xfId="16384" xr:uid="{00000000-0005-0000-0000-0000FC3F0000}"/>
    <cellStyle name="Style 27 18" xfId="16385" xr:uid="{00000000-0005-0000-0000-0000FD3F0000}"/>
    <cellStyle name="Style 27 19" xfId="16386" xr:uid="{00000000-0005-0000-0000-0000FE3F0000}"/>
    <cellStyle name="Style 27 2" xfId="16387" xr:uid="{00000000-0005-0000-0000-0000FF3F0000}"/>
    <cellStyle name="Style 27 20" xfId="16388" xr:uid="{00000000-0005-0000-0000-000000400000}"/>
    <cellStyle name="Style 27 21" xfId="16389" xr:uid="{00000000-0005-0000-0000-000001400000}"/>
    <cellStyle name="Style 27 22" xfId="16390" xr:uid="{00000000-0005-0000-0000-000002400000}"/>
    <cellStyle name="Style 27 23" xfId="16391" xr:uid="{00000000-0005-0000-0000-000003400000}"/>
    <cellStyle name="Style 27 24" xfId="16392" xr:uid="{00000000-0005-0000-0000-000004400000}"/>
    <cellStyle name="Style 27 25" xfId="16393" xr:uid="{00000000-0005-0000-0000-000005400000}"/>
    <cellStyle name="Style 27 26" xfId="16394" xr:uid="{00000000-0005-0000-0000-000006400000}"/>
    <cellStyle name="Style 27 27" xfId="16395" xr:uid="{00000000-0005-0000-0000-000007400000}"/>
    <cellStyle name="Style 27 28" xfId="16396" xr:uid="{00000000-0005-0000-0000-000008400000}"/>
    <cellStyle name="Style 27 29" xfId="16397" xr:uid="{00000000-0005-0000-0000-000009400000}"/>
    <cellStyle name="Style 27 3" xfId="16398" xr:uid="{00000000-0005-0000-0000-00000A400000}"/>
    <cellStyle name="Style 27 30" xfId="16399" xr:uid="{00000000-0005-0000-0000-00000B400000}"/>
    <cellStyle name="Style 27 4" xfId="16400" xr:uid="{00000000-0005-0000-0000-00000C400000}"/>
    <cellStyle name="Style 27 5" xfId="16401" xr:uid="{00000000-0005-0000-0000-00000D400000}"/>
    <cellStyle name="Style 27 6" xfId="16402" xr:uid="{00000000-0005-0000-0000-00000E400000}"/>
    <cellStyle name="Style 27 7" xfId="16403" xr:uid="{00000000-0005-0000-0000-00000F400000}"/>
    <cellStyle name="Style 27 8" xfId="16404" xr:uid="{00000000-0005-0000-0000-000010400000}"/>
    <cellStyle name="Style 27 9" xfId="16405" xr:uid="{00000000-0005-0000-0000-000011400000}"/>
    <cellStyle name="Style 28" xfId="16406" xr:uid="{00000000-0005-0000-0000-000012400000}"/>
    <cellStyle name="Style 28 10" xfId="16407" xr:uid="{00000000-0005-0000-0000-000013400000}"/>
    <cellStyle name="Style 28 11" xfId="16408" xr:uid="{00000000-0005-0000-0000-000014400000}"/>
    <cellStyle name="Style 28 12" xfId="16409" xr:uid="{00000000-0005-0000-0000-000015400000}"/>
    <cellStyle name="Style 28 13" xfId="16410" xr:uid="{00000000-0005-0000-0000-000016400000}"/>
    <cellStyle name="Style 28 14" xfId="16411" xr:uid="{00000000-0005-0000-0000-000017400000}"/>
    <cellStyle name="Style 28 15" xfId="16412" xr:uid="{00000000-0005-0000-0000-000018400000}"/>
    <cellStyle name="Style 28 16" xfId="16413" xr:uid="{00000000-0005-0000-0000-000019400000}"/>
    <cellStyle name="Style 28 17" xfId="16414" xr:uid="{00000000-0005-0000-0000-00001A400000}"/>
    <cellStyle name="Style 28 18" xfId="16415" xr:uid="{00000000-0005-0000-0000-00001B400000}"/>
    <cellStyle name="Style 28 19" xfId="16416" xr:uid="{00000000-0005-0000-0000-00001C400000}"/>
    <cellStyle name="Style 28 2" xfId="16417" xr:uid="{00000000-0005-0000-0000-00001D400000}"/>
    <cellStyle name="Style 28 20" xfId="16418" xr:uid="{00000000-0005-0000-0000-00001E400000}"/>
    <cellStyle name="Style 28 21" xfId="16419" xr:uid="{00000000-0005-0000-0000-00001F400000}"/>
    <cellStyle name="Style 28 3" xfId="16420" xr:uid="{00000000-0005-0000-0000-000020400000}"/>
    <cellStyle name="Style 28 4" xfId="16421" xr:uid="{00000000-0005-0000-0000-000021400000}"/>
    <cellStyle name="Style 28 5" xfId="16422" xr:uid="{00000000-0005-0000-0000-000022400000}"/>
    <cellStyle name="Style 28 6" xfId="16423" xr:uid="{00000000-0005-0000-0000-000023400000}"/>
    <cellStyle name="Style 28 7" xfId="16424" xr:uid="{00000000-0005-0000-0000-000024400000}"/>
    <cellStyle name="Style 28 8" xfId="16425" xr:uid="{00000000-0005-0000-0000-000025400000}"/>
    <cellStyle name="Style 28 9" xfId="16426" xr:uid="{00000000-0005-0000-0000-000026400000}"/>
    <cellStyle name="Style 29" xfId="16427" xr:uid="{00000000-0005-0000-0000-000027400000}"/>
    <cellStyle name="Style 29 10" xfId="16428" xr:uid="{00000000-0005-0000-0000-000028400000}"/>
    <cellStyle name="Style 29 11" xfId="16429" xr:uid="{00000000-0005-0000-0000-000029400000}"/>
    <cellStyle name="Style 29 12" xfId="16430" xr:uid="{00000000-0005-0000-0000-00002A400000}"/>
    <cellStyle name="Style 29 13" xfId="16431" xr:uid="{00000000-0005-0000-0000-00002B400000}"/>
    <cellStyle name="Style 29 14" xfId="16432" xr:uid="{00000000-0005-0000-0000-00002C400000}"/>
    <cellStyle name="Style 29 15" xfId="16433" xr:uid="{00000000-0005-0000-0000-00002D400000}"/>
    <cellStyle name="Style 29 16" xfId="16434" xr:uid="{00000000-0005-0000-0000-00002E400000}"/>
    <cellStyle name="Style 29 17" xfId="16435" xr:uid="{00000000-0005-0000-0000-00002F400000}"/>
    <cellStyle name="Style 29 18" xfId="16436" xr:uid="{00000000-0005-0000-0000-000030400000}"/>
    <cellStyle name="Style 29 19" xfId="16437" xr:uid="{00000000-0005-0000-0000-000031400000}"/>
    <cellStyle name="Style 29 2" xfId="16438" xr:uid="{00000000-0005-0000-0000-000032400000}"/>
    <cellStyle name="Style 29 20" xfId="16439" xr:uid="{00000000-0005-0000-0000-000033400000}"/>
    <cellStyle name="Style 29 21" xfId="16440" xr:uid="{00000000-0005-0000-0000-000034400000}"/>
    <cellStyle name="Style 29 22" xfId="16441" xr:uid="{00000000-0005-0000-0000-000035400000}"/>
    <cellStyle name="Style 29 23" xfId="16442" xr:uid="{00000000-0005-0000-0000-000036400000}"/>
    <cellStyle name="Style 29 24" xfId="16443" xr:uid="{00000000-0005-0000-0000-000037400000}"/>
    <cellStyle name="Style 29 25" xfId="16444" xr:uid="{00000000-0005-0000-0000-000038400000}"/>
    <cellStyle name="Style 29 26" xfId="16445" xr:uid="{00000000-0005-0000-0000-000039400000}"/>
    <cellStyle name="Style 29 27" xfId="16446" xr:uid="{00000000-0005-0000-0000-00003A400000}"/>
    <cellStyle name="Style 29 28" xfId="16447" xr:uid="{00000000-0005-0000-0000-00003B400000}"/>
    <cellStyle name="Style 29 29" xfId="16448" xr:uid="{00000000-0005-0000-0000-00003C400000}"/>
    <cellStyle name="Style 29 3" xfId="16449" xr:uid="{00000000-0005-0000-0000-00003D400000}"/>
    <cellStyle name="Style 29 30" xfId="16450" xr:uid="{00000000-0005-0000-0000-00003E400000}"/>
    <cellStyle name="Style 29 4" xfId="16451" xr:uid="{00000000-0005-0000-0000-00003F400000}"/>
    <cellStyle name="Style 29 5" xfId="16452" xr:uid="{00000000-0005-0000-0000-000040400000}"/>
    <cellStyle name="Style 29 6" xfId="16453" xr:uid="{00000000-0005-0000-0000-000041400000}"/>
    <cellStyle name="Style 29 7" xfId="16454" xr:uid="{00000000-0005-0000-0000-000042400000}"/>
    <cellStyle name="Style 29 8" xfId="16455" xr:uid="{00000000-0005-0000-0000-000043400000}"/>
    <cellStyle name="Style 29 9" xfId="16456" xr:uid="{00000000-0005-0000-0000-000044400000}"/>
    <cellStyle name="Style 30" xfId="16457" xr:uid="{00000000-0005-0000-0000-000045400000}"/>
    <cellStyle name="Style 30 10" xfId="16458" xr:uid="{00000000-0005-0000-0000-000046400000}"/>
    <cellStyle name="Style 30 11" xfId="16459" xr:uid="{00000000-0005-0000-0000-000047400000}"/>
    <cellStyle name="Style 30 12" xfId="16460" xr:uid="{00000000-0005-0000-0000-000048400000}"/>
    <cellStyle name="Style 30 13" xfId="16461" xr:uid="{00000000-0005-0000-0000-000049400000}"/>
    <cellStyle name="Style 30 14" xfId="16462" xr:uid="{00000000-0005-0000-0000-00004A400000}"/>
    <cellStyle name="Style 30 15" xfId="16463" xr:uid="{00000000-0005-0000-0000-00004B400000}"/>
    <cellStyle name="Style 30 16" xfId="16464" xr:uid="{00000000-0005-0000-0000-00004C400000}"/>
    <cellStyle name="Style 30 17" xfId="16465" xr:uid="{00000000-0005-0000-0000-00004D400000}"/>
    <cellStyle name="Style 30 18" xfId="16466" xr:uid="{00000000-0005-0000-0000-00004E400000}"/>
    <cellStyle name="Style 30 19" xfId="16467" xr:uid="{00000000-0005-0000-0000-00004F400000}"/>
    <cellStyle name="Style 30 2" xfId="16468" xr:uid="{00000000-0005-0000-0000-000050400000}"/>
    <cellStyle name="Style 30 20" xfId="16469" xr:uid="{00000000-0005-0000-0000-000051400000}"/>
    <cellStyle name="Style 30 21" xfId="16470" xr:uid="{00000000-0005-0000-0000-000052400000}"/>
    <cellStyle name="Style 30 22" xfId="16471" xr:uid="{00000000-0005-0000-0000-000053400000}"/>
    <cellStyle name="Style 30 23" xfId="16472" xr:uid="{00000000-0005-0000-0000-000054400000}"/>
    <cellStyle name="Style 30 24" xfId="16473" xr:uid="{00000000-0005-0000-0000-000055400000}"/>
    <cellStyle name="Style 30 25" xfId="16474" xr:uid="{00000000-0005-0000-0000-000056400000}"/>
    <cellStyle name="Style 30 26" xfId="16475" xr:uid="{00000000-0005-0000-0000-000057400000}"/>
    <cellStyle name="Style 30 27" xfId="16476" xr:uid="{00000000-0005-0000-0000-000058400000}"/>
    <cellStyle name="Style 30 28" xfId="16477" xr:uid="{00000000-0005-0000-0000-000059400000}"/>
    <cellStyle name="Style 30 29" xfId="16478" xr:uid="{00000000-0005-0000-0000-00005A400000}"/>
    <cellStyle name="Style 30 3" xfId="16479" xr:uid="{00000000-0005-0000-0000-00005B400000}"/>
    <cellStyle name="Style 30 30" xfId="16480" xr:uid="{00000000-0005-0000-0000-00005C400000}"/>
    <cellStyle name="Style 30 4" xfId="16481" xr:uid="{00000000-0005-0000-0000-00005D400000}"/>
    <cellStyle name="Style 30 5" xfId="16482" xr:uid="{00000000-0005-0000-0000-00005E400000}"/>
    <cellStyle name="Style 30 6" xfId="16483" xr:uid="{00000000-0005-0000-0000-00005F400000}"/>
    <cellStyle name="Style 30 7" xfId="16484" xr:uid="{00000000-0005-0000-0000-000060400000}"/>
    <cellStyle name="Style 30 8" xfId="16485" xr:uid="{00000000-0005-0000-0000-000061400000}"/>
    <cellStyle name="Style 30 9" xfId="16486" xr:uid="{00000000-0005-0000-0000-000062400000}"/>
    <cellStyle name="Style 31" xfId="16487" xr:uid="{00000000-0005-0000-0000-000063400000}"/>
    <cellStyle name="Style 31 10" xfId="16488" xr:uid="{00000000-0005-0000-0000-000064400000}"/>
    <cellStyle name="Style 31 11" xfId="16489" xr:uid="{00000000-0005-0000-0000-000065400000}"/>
    <cellStyle name="Style 31 12" xfId="16490" xr:uid="{00000000-0005-0000-0000-000066400000}"/>
    <cellStyle name="Style 31 13" xfId="16491" xr:uid="{00000000-0005-0000-0000-000067400000}"/>
    <cellStyle name="Style 31 14" xfId="16492" xr:uid="{00000000-0005-0000-0000-000068400000}"/>
    <cellStyle name="Style 31 15" xfId="16493" xr:uid="{00000000-0005-0000-0000-000069400000}"/>
    <cellStyle name="Style 31 16" xfId="16494" xr:uid="{00000000-0005-0000-0000-00006A400000}"/>
    <cellStyle name="Style 31 17" xfId="16495" xr:uid="{00000000-0005-0000-0000-00006B400000}"/>
    <cellStyle name="Style 31 18" xfId="16496" xr:uid="{00000000-0005-0000-0000-00006C400000}"/>
    <cellStyle name="Style 31 19" xfId="16497" xr:uid="{00000000-0005-0000-0000-00006D400000}"/>
    <cellStyle name="Style 31 2" xfId="16498" xr:uid="{00000000-0005-0000-0000-00006E400000}"/>
    <cellStyle name="Style 31 20" xfId="16499" xr:uid="{00000000-0005-0000-0000-00006F400000}"/>
    <cellStyle name="Style 31 21" xfId="16500" xr:uid="{00000000-0005-0000-0000-000070400000}"/>
    <cellStyle name="Style 31 22" xfId="16501" xr:uid="{00000000-0005-0000-0000-000071400000}"/>
    <cellStyle name="Style 31 23" xfId="16502" xr:uid="{00000000-0005-0000-0000-000072400000}"/>
    <cellStyle name="Style 31 24" xfId="16503" xr:uid="{00000000-0005-0000-0000-000073400000}"/>
    <cellStyle name="Style 31 25" xfId="16504" xr:uid="{00000000-0005-0000-0000-000074400000}"/>
    <cellStyle name="Style 31 26" xfId="16505" xr:uid="{00000000-0005-0000-0000-000075400000}"/>
    <cellStyle name="Style 31 27" xfId="16506" xr:uid="{00000000-0005-0000-0000-000076400000}"/>
    <cellStyle name="Style 31 28" xfId="16507" xr:uid="{00000000-0005-0000-0000-000077400000}"/>
    <cellStyle name="Style 31 29" xfId="16508" xr:uid="{00000000-0005-0000-0000-000078400000}"/>
    <cellStyle name="Style 31 3" xfId="16509" xr:uid="{00000000-0005-0000-0000-000079400000}"/>
    <cellStyle name="Style 31 30" xfId="16510" xr:uid="{00000000-0005-0000-0000-00007A400000}"/>
    <cellStyle name="Style 31 4" xfId="16511" xr:uid="{00000000-0005-0000-0000-00007B400000}"/>
    <cellStyle name="Style 31 5" xfId="16512" xr:uid="{00000000-0005-0000-0000-00007C400000}"/>
    <cellStyle name="Style 31 6" xfId="16513" xr:uid="{00000000-0005-0000-0000-00007D400000}"/>
    <cellStyle name="Style 31 7" xfId="16514" xr:uid="{00000000-0005-0000-0000-00007E400000}"/>
    <cellStyle name="Style 31 8" xfId="16515" xr:uid="{00000000-0005-0000-0000-00007F400000}"/>
    <cellStyle name="Style 31 9" xfId="16516" xr:uid="{00000000-0005-0000-0000-000080400000}"/>
    <cellStyle name="Style 32" xfId="16517" xr:uid="{00000000-0005-0000-0000-000081400000}"/>
    <cellStyle name="Style 32 10" xfId="16518" xr:uid="{00000000-0005-0000-0000-000082400000}"/>
    <cellStyle name="Style 32 11" xfId="16519" xr:uid="{00000000-0005-0000-0000-000083400000}"/>
    <cellStyle name="Style 32 12" xfId="16520" xr:uid="{00000000-0005-0000-0000-000084400000}"/>
    <cellStyle name="Style 32 13" xfId="16521" xr:uid="{00000000-0005-0000-0000-000085400000}"/>
    <cellStyle name="Style 32 14" xfId="16522" xr:uid="{00000000-0005-0000-0000-000086400000}"/>
    <cellStyle name="Style 32 15" xfId="16523" xr:uid="{00000000-0005-0000-0000-000087400000}"/>
    <cellStyle name="Style 32 16" xfId="16524" xr:uid="{00000000-0005-0000-0000-000088400000}"/>
    <cellStyle name="Style 32 17" xfId="16525" xr:uid="{00000000-0005-0000-0000-000089400000}"/>
    <cellStyle name="Style 32 18" xfId="16526" xr:uid="{00000000-0005-0000-0000-00008A400000}"/>
    <cellStyle name="Style 32 19" xfId="16527" xr:uid="{00000000-0005-0000-0000-00008B400000}"/>
    <cellStyle name="Style 32 2" xfId="16528" xr:uid="{00000000-0005-0000-0000-00008C400000}"/>
    <cellStyle name="Style 32 20" xfId="16529" xr:uid="{00000000-0005-0000-0000-00008D400000}"/>
    <cellStyle name="Style 32 21" xfId="16530" xr:uid="{00000000-0005-0000-0000-00008E400000}"/>
    <cellStyle name="Style 32 3" xfId="16531" xr:uid="{00000000-0005-0000-0000-00008F400000}"/>
    <cellStyle name="Style 32 4" xfId="16532" xr:uid="{00000000-0005-0000-0000-000090400000}"/>
    <cellStyle name="Style 32 5" xfId="16533" xr:uid="{00000000-0005-0000-0000-000091400000}"/>
    <cellStyle name="Style 32 6" xfId="16534" xr:uid="{00000000-0005-0000-0000-000092400000}"/>
    <cellStyle name="Style 32 7" xfId="16535" xr:uid="{00000000-0005-0000-0000-000093400000}"/>
    <cellStyle name="Style 32 8" xfId="16536" xr:uid="{00000000-0005-0000-0000-000094400000}"/>
    <cellStyle name="Style 32 9" xfId="16537" xr:uid="{00000000-0005-0000-0000-000095400000}"/>
    <cellStyle name="Style 33" xfId="16538" xr:uid="{00000000-0005-0000-0000-000096400000}"/>
    <cellStyle name="Style 33 10" xfId="16539" xr:uid="{00000000-0005-0000-0000-000097400000}"/>
    <cellStyle name="Style 33 11" xfId="16540" xr:uid="{00000000-0005-0000-0000-000098400000}"/>
    <cellStyle name="Style 33 12" xfId="16541" xr:uid="{00000000-0005-0000-0000-000099400000}"/>
    <cellStyle name="Style 33 13" xfId="16542" xr:uid="{00000000-0005-0000-0000-00009A400000}"/>
    <cellStyle name="Style 33 14" xfId="16543" xr:uid="{00000000-0005-0000-0000-00009B400000}"/>
    <cellStyle name="Style 33 15" xfId="16544" xr:uid="{00000000-0005-0000-0000-00009C400000}"/>
    <cellStyle name="Style 33 16" xfId="16545" xr:uid="{00000000-0005-0000-0000-00009D400000}"/>
    <cellStyle name="Style 33 17" xfId="16546" xr:uid="{00000000-0005-0000-0000-00009E400000}"/>
    <cellStyle name="Style 33 18" xfId="16547" xr:uid="{00000000-0005-0000-0000-00009F400000}"/>
    <cellStyle name="Style 33 19" xfId="16548" xr:uid="{00000000-0005-0000-0000-0000A0400000}"/>
    <cellStyle name="Style 33 2" xfId="16549" xr:uid="{00000000-0005-0000-0000-0000A1400000}"/>
    <cellStyle name="Style 33 20" xfId="16550" xr:uid="{00000000-0005-0000-0000-0000A2400000}"/>
    <cellStyle name="Style 33 21" xfId="16551" xr:uid="{00000000-0005-0000-0000-0000A3400000}"/>
    <cellStyle name="Style 33 22" xfId="16552" xr:uid="{00000000-0005-0000-0000-0000A4400000}"/>
    <cellStyle name="Style 33 23" xfId="16553" xr:uid="{00000000-0005-0000-0000-0000A5400000}"/>
    <cellStyle name="Style 33 24" xfId="16554" xr:uid="{00000000-0005-0000-0000-0000A6400000}"/>
    <cellStyle name="Style 33 25" xfId="16555" xr:uid="{00000000-0005-0000-0000-0000A7400000}"/>
    <cellStyle name="Style 33 26" xfId="16556" xr:uid="{00000000-0005-0000-0000-0000A8400000}"/>
    <cellStyle name="Style 33 27" xfId="16557" xr:uid="{00000000-0005-0000-0000-0000A9400000}"/>
    <cellStyle name="Style 33 28" xfId="16558" xr:uid="{00000000-0005-0000-0000-0000AA400000}"/>
    <cellStyle name="Style 33 29" xfId="16559" xr:uid="{00000000-0005-0000-0000-0000AB400000}"/>
    <cellStyle name="Style 33 3" xfId="16560" xr:uid="{00000000-0005-0000-0000-0000AC400000}"/>
    <cellStyle name="Style 33 30" xfId="16561" xr:uid="{00000000-0005-0000-0000-0000AD400000}"/>
    <cellStyle name="Style 33 4" xfId="16562" xr:uid="{00000000-0005-0000-0000-0000AE400000}"/>
    <cellStyle name="Style 33 5" xfId="16563" xr:uid="{00000000-0005-0000-0000-0000AF400000}"/>
    <cellStyle name="Style 33 6" xfId="16564" xr:uid="{00000000-0005-0000-0000-0000B0400000}"/>
    <cellStyle name="Style 33 7" xfId="16565" xr:uid="{00000000-0005-0000-0000-0000B1400000}"/>
    <cellStyle name="Style 33 8" xfId="16566" xr:uid="{00000000-0005-0000-0000-0000B2400000}"/>
    <cellStyle name="Style 33 9" xfId="16567" xr:uid="{00000000-0005-0000-0000-0000B3400000}"/>
    <cellStyle name="Style 34" xfId="16568" xr:uid="{00000000-0005-0000-0000-0000B4400000}"/>
    <cellStyle name="Style 34 10" xfId="16569" xr:uid="{00000000-0005-0000-0000-0000B5400000}"/>
    <cellStyle name="Style 34 11" xfId="16570" xr:uid="{00000000-0005-0000-0000-0000B6400000}"/>
    <cellStyle name="Style 34 12" xfId="16571" xr:uid="{00000000-0005-0000-0000-0000B7400000}"/>
    <cellStyle name="Style 34 13" xfId="16572" xr:uid="{00000000-0005-0000-0000-0000B8400000}"/>
    <cellStyle name="Style 34 14" xfId="16573" xr:uid="{00000000-0005-0000-0000-0000B9400000}"/>
    <cellStyle name="Style 34 15" xfId="16574" xr:uid="{00000000-0005-0000-0000-0000BA400000}"/>
    <cellStyle name="Style 34 16" xfId="16575" xr:uid="{00000000-0005-0000-0000-0000BB400000}"/>
    <cellStyle name="Style 34 17" xfId="16576" xr:uid="{00000000-0005-0000-0000-0000BC400000}"/>
    <cellStyle name="Style 34 18" xfId="16577" xr:uid="{00000000-0005-0000-0000-0000BD400000}"/>
    <cellStyle name="Style 34 19" xfId="16578" xr:uid="{00000000-0005-0000-0000-0000BE400000}"/>
    <cellStyle name="Style 34 2" xfId="16579" xr:uid="{00000000-0005-0000-0000-0000BF400000}"/>
    <cellStyle name="Style 34 20" xfId="16580" xr:uid="{00000000-0005-0000-0000-0000C0400000}"/>
    <cellStyle name="Style 34 21" xfId="16581" xr:uid="{00000000-0005-0000-0000-0000C1400000}"/>
    <cellStyle name="Style 34 22" xfId="16582" xr:uid="{00000000-0005-0000-0000-0000C2400000}"/>
    <cellStyle name="Style 34 23" xfId="16583" xr:uid="{00000000-0005-0000-0000-0000C3400000}"/>
    <cellStyle name="Style 34 24" xfId="16584" xr:uid="{00000000-0005-0000-0000-0000C4400000}"/>
    <cellStyle name="Style 34 25" xfId="16585" xr:uid="{00000000-0005-0000-0000-0000C5400000}"/>
    <cellStyle name="Style 34 26" xfId="16586" xr:uid="{00000000-0005-0000-0000-0000C6400000}"/>
    <cellStyle name="Style 34 27" xfId="16587" xr:uid="{00000000-0005-0000-0000-0000C7400000}"/>
    <cellStyle name="Style 34 28" xfId="16588" xr:uid="{00000000-0005-0000-0000-0000C8400000}"/>
    <cellStyle name="Style 34 29" xfId="16589" xr:uid="{00000000-0005-0000-0000-0000C9400000}"/>
    <cellStyle name="Style 34 3" xfId="16590" xr:uid="{00000000-0005-0000-0000-0000CA400000}"/>
    <cellStyle name="Style 34 30" xfId="16591" xr:uid="{00000000-0005-0000-0000-0000CB400000}"/>
    <cellStyle name="Style 34 4" xfId="16592" xr:uid="{00000000-0005-0000-0000-0000CC400000}"/>
    <cellStyle name="Style 34 5" xfId="16593" xr:uid="{00000000-0005-0000-0000-0000CD400000}"/>
    <cellStyle name="Style 34 6" xfId="16594" xr:uid="{00000000-0005-0000-0000-0000CE400000}"/>
    <cellStyle name="Style 34 7" xfId="16595" xr:uid="{00000000-0005-0000-0000-0000CF400000}"/>
    <cellStyle name="Style 34 8" xfId="16596" xr:uid="{00000000-0005-0000-0000-0000D0400000}"/>
    <cellStyle name="Style 34 9" xfId="16597" xr:uid="{00000000-0005-0000-0000-0000D1400000}"/>
    <cellStyle name="Style 35" xfId="16598" xr:uid="{00000000-0005-0000-0000-0000D2400000}"/>
    <cellStyle name="Style 35 10" xfId="16599" xr:uid="{00000000-0005-0000-0000-0000D3400000}"/>
    <cellStyle name="Style 35 11" xfId="16600" xr:uid="{00000000-0005-0000-0000-0000D4400000}"/>
    <cellStyle name="Style 35 12" xfId="16601" xr:uid="{00000000-0005-0000-0000-0000D5400000}"/>
    <cellStyle name="Style 35 13" xfId="16602" xr:uid="{00000000-0005-0000-0000-0000D6400000}"/>
    <cellStyle name="Style 35 14" xfId="16603" xr:uid="{00000000-0005-0000-0000-0000D7400000}"/>
    <cellStyle name="Style 35 15" xfId="16604" xr:uid="{00000000-0005-0000-0000-0000D8400000}"/>
    <cellStyle name="Style 35 16" xfId="16605" xr:uid="{00000000-0005-0000-0000-0000D9400000}"/>
    <cellStyle name="Style 35 17" xfId="16606" xr:uid="{00000000-0005-0000-0000-0000DA400000}"/>
    <cellStyle name="Style 35 18" xfId="16607" xr:uid="{00000000-0005-0000-0000-0000DB400000}"/>
    <cellStyle name="Style 35 19" xfId="16608" xr:uid="{00000000-0005-0000-0000-0000DC400000}"/>
    <cellStyle name="Style 35 2" xfId="16609" xr:uid="{00000000-0005-0000-0000-0000DD400000}"/>
    <cellStyle name="Style 35 20" xfId="16610" xr:uid="{00000000-0005-0000-0000-0000DE400000}"/>
    <cellStyle name="Style 35 21" xfId="16611" xr:uid="{00000000-0005-0000-0000-0000DF400000}"/>
    <cellStyle name="Style 35 22" xfId="16612" xr:uid="{00000000-0005-0000-0000-0000E0400000}"/>
    <cellStyle name="Style 35 23" xfId="16613" xr:uid="{00000000-0005-0000-0000-0000E1400000}"/>
    <cellStyle name="Style 35 24" xfId="16614" xr:uid="{00000000-0005-0000-0000-0000E2400000}"/>
    <cellStyle name="Style 35 25" xfId="16615" xr:uid="{00000000-0005-0000-0000-0000E3400000}"/>
    <cellStyle name="Style 35 26" xfId="16616" xr:uid="{00000000-0005-0000-0000-0000E4400000}"/>
    <cellStyle name="Style 35 27" xfId="16617" xr:uid="{00000000-0005-0000-0000-0000E5400000}"/>
    <cellStyle name="Style 35 28" xfId="16618" xr:uid="{00000000-0005-0000-0000-0000E6400000}"/>
    <cellStyle name="Style 35 29" xfId="16619" xr:uid="{00000000-0005-0000-0000-0000E7400000}"/>
    <cellStyle name="Style 35 3" xfId="16620" xr:uid="{00000000-0005-0000-0000-0000E8400000}"/>
    <cellStyle name="Style 35 30" xfId="16621" xr:uid="{00000000-0005-0000-0000-0000E9400000}"/>
    <cellStyle name="Style 35 4" xfId="16622" xr:uid="{00000000-0005-0000-0000-0000EA400000}"/>
    <cellStyle name="Style 35 5" xfId="16623" xr:uid="{00000000-0005-0000-0000-0000EB400000}"/>
    <cellStyle name="Style 35 6" xfId="16624" xr:uid="{00000000-0005-0000-0000-0000EC400000}"/>
    <cellStyle name="Style 35 7" xfId="16625" xr:uid="{00000000-0005-0000-0000-0000ED400000}"/>
    <cellStyle name="Style 35 8" xfId="16626" xr:uid="{00000000-0005-0000-0000-0000EE400000}"/>
    <cellStyle name="Style 35 9" xfId="16627" xr:uid="{00000000-0005-0000-0000-0000EF400000}"/>
    <cellStyle name="Style 36" xfId="16628" xr:uid="{00000000-0005-0000-0000-0000F0400000}"/>
    <cellStyle name="Style 36 10" xfId="16629" xr:uid="{00000000-0005-0000-0000-0000F1400000}"/>
    <cellStyle name="Style 36 11" xfId="16630" xr:uid="{00000000-0005-0000-0000-0000F2400000}"/>
    <cellStyle name="Style 36 12" xfId="16631" xr:uid="{00000000-0005-0000-0000-0000F3400000}"/>
    <cellStyle name="Style 36 13" xfId="16632" xr:uid="{00000000-0005-0000-0000-0000F4400000}"/>
    <cellStyle name="Style 36 14" xfId="16633" xr:uid="{00000000-0005-0000-0000-0000F5400000}"/>
    <cellStyle name="Style 36 15" xfId="16634" xr:uid="{00000000-0005-0000-0000-0000F6400000}"/>
    <cellStyle name="Style 36 16" xfId="16635" xr:uid="{00000000-0005-0000-0000-0000F7400000}"/>
    <cellStyle name="Style 36 17" xfId="16636" xr:uid="{00000000-0005-0000-0000-0000F8400000}"/>
    <cellStyle name="Style 36 18" xfId="16637" xr:uid="{00000000-0005-0000-0000-0000F9400000}"/>
    <cellStyle name="Style 36 19" xfId="16638" xr:uid="{00000000-0005-0000-0000-0000FA400000}"/>
    <cellStyle name="Style 36 2" xfId="16639" xr:uid="{00000000-0005-0000-0000-0000FB400000}"/>
    <cellStyle name="Style 36 20" xfId="16640" xr:uid="{00000000-0005-0000-0000-0000FC400000}"/>
    <cellStyle name="Style 36 21" xfId="16641" xr:uid="{00000000-0005-0000-0000-0000FD400000}"/>
    <cellStyle name="Style 36 22" xfId="16642" xr:uid="{00000000-0005-0000-0000-0000FE400000}"/>
    <cellStyle name="Style 36 23" xfId="16643" xr:uid="{00000000-0005-0000-0000-0000FF400000}"/>
    <cellStyle name="Style 36 24" xfId="16644" xr:uid="{00000000-0005-0000-0000-000000410000}"/>
    <cellStyle name="Style 36 25" xfId="16645" xr:uid="{00000000-0005-0000-0000-000001410000}"/>
    <cellStyle name="Style 36 26" xfId="16646" xr:uid="{00000000-0005-0000-0000-000002410000}"/>
    <cellStyle name="Style 36 27" xfId="16647" xr:uid="{00000000-0005-0000-0000-000003410000}"/>
    <cellStyle name="Style 36 28" xfId="16648" xr:uid="{00000000-0005-0000-0000-000004410000}"/>
    <cellStyle name="Style 36 29" xfId="16649" xr:uid="{00000000-0005-0000-0000-000005410000}"/>
    <cellStyle name="Style 36 3" xfId="16650" xr:uid="{00000000-0005-0000-0000-000006410000}"/>
    <cellStyle name="Style 36 30" xfId="16651" xr:uid="{00000000-0005-0000-0000-000007410000}"/>
    <cellStyle name="Style 36 4" xfId="16652" xr:uid="{00000000-0005-0000-0000-000008410000}"/>
    <cellStyle name="Style 36 5" xfId="16653" xr:uid="{00000000-0005-0000-0000-000009410000}"/>
    <cellStyle name="Style 36 6" xfId="16654" xr:uid="{00000000-0005-0000-0000-00000A410000}"/>
    <cellStyle name="Style 36 7" xfId="16655" xr:uid="{00000000-0005-0000-0000-00000B410000}"/>
    <cellStyle name="Style 36 8" xfId="16656" xr:uid="{00000000-0005-0000-0000-00000C410000}"/>
    <cellStyle name="Style 36 9" xfId="16657" xr:uid="{00000000-0005-0000-0000-00000D410000}"/>
    <cellStyle name="Style 39" xfId="16658" xr:uid="{00000000-0005-0000-0000-00000E410000}"/>
    <cellStyle name="Style 39 10" xfId="16659" xr:uid="{00000000-0005-0000-0000-00000F410000}"/>
    <cellStyle name="Style 39 11" xfId="16660" xr:uid="{00000000-0005-0000-0000-000010410000}"/>
    <cellStyle name="Style 39 12" xfId="16661" xr:uid="{00000000-0005-0000-0000-000011410000}"/>
    <cellStyle name="Style 39 13" xfId="16662" xr:uid="{00000000-0005-0000-0000-000012410000}"/>
    <cellStyle name="Style 39 14" xfId="16663" xr:uid="{00000000-0005-0000-0000-000013410000}"/>
    <cellStyle name="Style 39 15" xfId="16664" xr:uid="{00000000-0005-0000-0000-000014410000}"/>
    <cellStyle name="Style 39 16" xfId="16665" xr:uid="{00000000-0005-0000-0000-000015410000}"/>
    <cellStyle name="Style 39 17" xfId="16666" xr:uid="{00000000-0005-0000-0000-000016410000}"/>
    <cellStyle name="Style 39 18" xfId="16667" xr:uid="{00000000-0005-0000-0000-000017410000}"/>
    <cellStyle name="Style 39 19" xfId="16668" xr:uid="{00000000-0005-0000-0000-000018410000}"/>
    <cellStyle name="Style 39 2" xfId="16669" xr:uid="{00000000-0005-0000-0000-000019410000}"/>
    <cellStyle name="Style 39 20" xfId="16670" xr:uid="{00000000-0005-0000-0000-00001A410000}"/>
    <cellStyle name="Style 39 21" xfId="16671" xr:uid="{00000000-0005-0000-0000-00001B410000}"/>
    <cellStyle name="Style 39 22" xfId="16672" xr:uid="{00000000-0005-0000-0000-00001C410000}"/>
    <cellStyle name="Style 39 23" xfId="16673" xr:uid="{00000000-0005-0000-0000-00001D410000}"/>
    <cellStyle name="Style 39 24" xfId="16674" xr:uid="{00000000-0005-0000-0000-00001E410000}"/>
    <cellStyle name="Style 39 25" xfId="16675" xr:uid="{00000000-0005-0000-0000-00001F410000}"/>
    <cellStyle name="Style 39 26" xfId="16676" xr:uid="{00000000-0005-0000-0000-000020410000}"/>
    <cellStyle name="Style 39 27" xfId="16677" xr:uid="{00000000-0005-0000-0000-000021410000}"/>
    <cellStyle name="Style 39 28" xfId="16678" xr:uid="{00000000-0005-0000-0000-000022410000}"/>
    <cellStyle name="Style 39 29" xfId="16679" xr:uid="{00000000-0005-0000-0000-000023410000}"/>
    <cellStyle name="Style 39 3" xfId="16680" xr:uid="{00000000-0005-0000-0000-000024410000}"/>
    <cellStyle name="Style 39 30" xfId="16681" xr:uid="{00000000-0005-0000-0000-000025410000}"/>
    <cellStyle name="Style 39 4" xfId="16682" xr:uid="{00000000-0005-0000-0000-000026410000}"/>
    <cellStyle name="Style 39 5" xfId="16683" xr:uid="{00000000-0005-0000-0000-000027410000}"/>
    <cellStyle name="Style 39 6" xfId="16684" xr:uid="{00000000-0005-0000-0000-000028410000}"/>
    <cellStyle name="Style 39 7" xfId="16685" xr:uid="{00000000-0005-0000-0000-000029410000}"/>
    <cellStyle name="Style 39 8" xfId="16686" xr:uid="{00000000-0005-0000-0000-00002A410000}"/>
    <cellStyle name="Style 39 9" xfId="16687" xr:uid="{00000000-0005-0000-0000-00002B410000}"/>
    <cellStyle name="SUB HEADING" xfId="16688" xr:uid="{00000000-0005-0000-0000-00002C410000}"/>
    <cellStyle name="subhead" xfId="16689" xr:uid="{00000000-0005-0000-0000-00002D410000}"/>
    <cellStyle name="Subtitle" xfId="16690" xr:uid="{00000000-0005-0000-0000-00002E410000}"/>
    <cellStyle name="Table Col Head" xfId="16691" xr:uid="{00000000-0005-0000-0000-00002F410000}"/>
    <cellStyle name="Table Head" xfId="16692" xr:uid="{00000000-0005-0000-0000-000030410000}"/>
    <cellStyle name="Table Head Aligned" xfId="16693" xr:uid="{00000000-0005-0000-0000-000031410000}"/>
    <cellStyle name="Table Head Blue" xfId="16694" xr:uid="{00000000-0005-0000-0000-000032410000}"/>
    <cellStyle name="Table Head Green" xfId="16695" xr:uid="{00000000-0005-0000-0000-000033410000}"/>
    <cellStyle name="Table Sub Head" xfId="16696" xr:uid="{00000000-0005-0000-0000-000034410000}"/>
    <cellStyle name="Table Title" xfId="16697" xr:uid="{00000000-0005-0000-0000-000035410000}"/>
    <cellStyle name="Table Units" xfId="16698" xr:uid="{00000000-0005-0000-0000-000036410000}"/>
    <cellStyle name="Text" xfId="16699" xr:uid="{00000000-0005-0000-0000-000037410000}"/>
    <cellStyle name="Theirs" xfId="16700" xr:uid="{00000000-0005-0000-0000-000038410000}"/>
    <cellStyle name="Times New Roman" xfId="16701" xr:uid="{00000000-0005-0000-0000-000039410000}"/>
    <cellStyle name="Title 10" xfId="16702" xr:uid="{00000000-0005-0000-0000-00003A410000}"/>
    <cellStyle name="Title 11" xfId="16703" xr:uid="{00000000-0005-0000-0000-00003B410000}"/>
    <cellStyle name="Title 2" xfId="3172" xr:uid="{00000000-0005-0000-0000-00003C410000}"/>
    <cellStyle name="Title 2 2" xfId="16704" xr:uid="{00000000-0005-0000-0000-00003D410000}"/>
    <cellStyle name="Title 2 2 2" xfId="16705" xr:uid="{00000000-0005-0000-0000-00003E410000}"/>
    <cellStyle name="Title 2 3" xfId="16706" xr:uid="{00000000-0005-0000-0000-00003F410000}"/>
    <cellStyle name="Title 2 4" xfId="16707" xr:uid="{00000000-0005-0000-0000-000040410000}"/>
    <cellStyle name="Title 2 5" xfId="16708" xr:uid="{00000000-0005-0000-0000-000041410000}"/>
    <cellStyle name="Title 2 6" xfId="16709" xr:uid="{00000000-0005-0000-0000-000042410000}"/>
    <cellStyle name="Title 3" xfId="3173" xr:uid="{00000000-0005-0000-0000-000043410000}"/>
    <cellStyle name="Title 3 2" xfId="16710" xr:uid="{00000000-0005-0000-0000-000044410000}"/>
    <cellStyle name="Title 3 2 2" xfId="16711" xr:uid="{00000000-0005-0000-0000-000045410000}"/>
    <cellStyle name="Title 3 3" xfId="16712" xr:uid="{00000000-0005-0000-0000-000046410000}"/>
    <cellStyle name="Title 3 4" xfId="16713" xr:uid="{00000000-0005-0000-0000-000047410000}"/>
    <cellStyle name="Title 4" xfId="3221" xr:uid="{00000000-0005-0000-0000-000048410000}"/>
    <cellStyle name="Title 4 2" xfId="16714" xr:uid="{00000000-0005-0000-0000-000049410000}"/>
    <cellStyle name="Title 5" xfId="16715" xr:uid="{00000000-0005-0000-0000-00004A410000}"/>
    <cellStyle name="Title 5 2" xfId="16716" xr:uid="{00000000-0005-0000-0000-00004B410000}"/>
    <cellStyle name="Title 6" xfId="16717" xr:uid="{00000000-0005-0000-0000-00004C410000}"/>
    <cellStyle name="Title 6 2" xfId="16718" xr:uid="{00000000-0005-0000-0000-00004D410000}"/>
    <cellStyle name="Title 7" xfId="16719" xr:uid="{00000000-0005-0000-0000-00004E410000}"/>
    <cellStyle name="Title 8" xfId="16720" xr:uid="{00000000-0005-0000-0000-00004F410000}"/>
    <cellStyle name="Title 9" xfId="16721" xr:uid="{00000000-0005-0000-0000-000050410000}"/>
    <cellStyle name="Total 10" xfId="16722" xr:uid="{00000000-0005-0000-0000-000051410000}"/>
    <cellStyle name="Total 10 2" xfId="16723" xr:uid="{00000000-0005-0000-0000-000052410000}"/>
    <cellStyle name="Total 11" xfId="16724" xr:uid="{00000000-0005-0000-0000-000053410000}"/>
    <cellStyle name="Total 11 2" xfId="16725" xr:uid="{00000000-0005-0000-0000-000054410000}"/>
    <cellStyle name="Total 12" xfId="16726" xr:uid="{00000000-0005-0000-0000-000055410000}"/>
    <cellStyle name="Total 12 2" xfId="16727" xr:uid="{00000000-0005-0000-0000-000056410000}"/>
    <cellStyle name="Total 13" xfId="16728" xr:uid="{00000000-0005-0000-0000-000057410000}"/>
    <cellStyle name="Total 13 2" xfId="16729" xr:uid="{00000000-0005-0000-0000-000058410000}"/>
    <cellStyle name="Total 14" xfId="16730" xr:uid="{00000000-0005-0000-0000-000059410000}"/>
    <cellStyle name="Total 14 2" xfId="16731" xr:uid="{00000000-0005-0000-0000-00005A410000}"/>
    <cellStyle name="Total 15" xfId="16732" xr:uid="{00000000-0005-0000-0000-00005B410000}"/>
    <cellStyle name="Total 16" xfId="16733" xr:uid="{00000000-0005-0000-0000-00005C410000}"/>
    <cellStyle name="Total 16 2" xfId="16734" xr:uid="{00000000-0005-0000-0000-00005D410000}"/>
    <cellStyle name="Total 16 3" xfId="16735" xr:uid="{00000000-0005-0000-0000-00005E410000}"/>
    <cellStyle name="Total 17" xfId="16736" xr:uid="{00000000-0005-0000-0000-00005F410000}"/>
    <cellStyle name="Total 18" xfId="16737" xr:uid="{00000000-0005-0000-0000-000060410000}"/>
    <cellStyle name="Total 2" xfId="3174" xr:uid="{00000000-0005-0000-0000-000061410000}"/>
    <cellStyle name="Total 2 10" xfId="16738" xr:uid="{00000000-0005-0000-0000-000062410000}"/>
    <cellStyle name="Total 2 10 2" xfId="16739" xr:uid="{00000000-0005-0000-0000-000063410000}"/>
    <cellStyle name="Total 2 11" xfId="16740" xr:uid="{00000000-0005-0000-0000-000064410000}"/>
    <cellStyle name="Total 2 12" xfId="16741" xr:uid="{00000000-0005-0000-0000-000065410000}"/>
    <cellStyle name="Total 2 13" xfId="16742" xr:uid="{00000000-0005-0000-0000-000066410000}"/>
    <cellStyle name="Total 2 14" xfId="16743" xr:uid="{00000000-0005-0000-0000-000067410000}"/>
    <cellStyle name="Total 2 15" xfId="16744" xr:uid="{00000000-0005-0000-0000-000068410000}"/>
    <cellStyle name="Total 2 16" xfId="16745" xr:uid="{00000000-0005-0000-0000-000069410000}"/>
    <cellStyle name="Total 2 17" xfId="16746" xr:uid="{00000000-0005-0000-0000-00006A410000}"/>
    <cellStyle name="Total 2 2" xfId="16747" xr:uid="{00000000-0005-0000-0000-00006B410000}"/>
    <cellStyle name="Total 2 2 2" xfId="16748" xr:uid="{00000000-0005-0000-0000-00006C410000}"/>
    <cellStyle name="Total 2 2 2 2" xfId="16749" xr:uid="{00000000-0005-0000-0000-00006D410000}"/>
    <cellStyle name="Total 2 2 3" xfId="16750" xr:uid="{00000000-0005-0000-0000-00006E410000}"/>
    <cellStyle name="Total 2 2_Actual" xfId="16751" xr:uid="{00000000-0005-0000-0000-00006F410000}"/>
    <cellStyle name="Total 2 3" xfId="16752" xr:uid="{00000000-0005-0000-0000-000070410000}"/>
    <cellStyle name="Total 2 3 2" xfId="16753" xr:uid="{00000000-0005-0000-0000-000071410000}"/>
    <cellStyle name="Total 2 4" xfId="16754" xr:uid="{00000000-0005-0000-0000-000072410000}"/>
    <cellStyle name="Total 2 4 2" xfId="16755" xr:uid="{00000000-0005-0000-0000-000073410000}"/>
    <cellStyle name="Total 2 4 2 2" xfId="16756" xr:uid="{00000000-0005-0000-0000-000074410000}"/>
    <cellStyle name="Total 2 4 3" xfId="16757" xr:uid="{00000000-0005-0000-0000-000075410000}"/>
    <cellStyle name="Total 2 4_Actual" xfId="16758" xr:uid="{00000000-0005-0000-0000-000076410000}"/>
    <cellStyle name="Total 2 5" xfId="16759" xr:uid="{00000000-0005-0000-0000-000077410000}"/>
    <cellStyle name="Total 2 6" xfId="16760" xr:uid="{00000000-0005-0000-0000-000078410000}"/>
    <cellStyle name="Total 2 7" xfId="16761" xr:uid="{00000000-0005-0000-0000-000079410000}"/>
    <cellStyle name="Total 2 7 2" xfId="16762" xr:uid="{00000000-0005-0000-0000-00007A410000}"/>
    <cellStyle name="Total 2 8" xfId="16763" xr:uid="{00000000-0005-0000-0000-00007B410000}"/>
    <cellStyle name="Total 2 8 2" xfId="16764" xr:uid="{00000000-0005-0000-0000-00007C410000}"/>
    <cellStyle name="Total 2 9" xfId="16765" xr:uid="{00000000-0005-0000-0000-00007D410000}"/>
    <cellStyle name="Total 2 9 2" xfId="16766" xr:uid="{00000000-0005-0000-0000-00007E410000}"/>
    <cellStyle name="Total 2_Actual" xfId="16767" xr:uid="{00000000-0005-0000-0000-00007F410000}"/>
    <cellStyle name="Total 3" xfId="3175" xr:uid="{00000000-0005-0000-0000-000080410000}"/>
    <cellStyle name="Total 3 2" xfId="16768" xr:uid="{00000000-0005-0000-0000-000081410000}"/>
    <cellStyle name="Total 3 3" xfId="16769" xr:uid="{00000000-0005-0000-0000-000082410000}"/>
    <cellStyle name="Total 3 4" xfId="16770" xr:uid="{00000000-0005-0000-0000-000083410000}"/>
    <cellStyle name="Total 3 4 2" xfId="16771" xr:uid="{00000000-0005-0000-0000-000084410000}"/>
    <cellStyle name="Total 3 5" xfId="16772" xr:uid="{00000000-0005-0000-0000-000085410000}"/>
    <cellStyle name="Total 3 5 2" xfId="16773" xr:uid="{00000000-0005-0000-0000-000086410000}"/>
    <cellStyle name="Total 3 6" xfId="16774" xr:uid="{00000000-0005-0000-0000-000087410000}"/>
    <cellStyle name="Total 3 7" xfId="16775" xr:uid="{00000000-0005-0000-0000-000088410000}"/>
    <cellStyle name="Total 4" xfId="3222" xr:uid="{00000000-0005-0000-0000-000089410000}"/>
    <cellStyle name="Total 4 2" xfId="16776" xr:uid="{00000000-0005-0000-0000-00008A410000}"/>
    <cellStyle name="Total 4 2 2" xfId="16777" xr:uid="{00000000-0005-0000-0000-00008B410000}"/>
    <cellStyle name="Total 4 3" xfId="16778" xr:uid="{00000000-0005-0000-0000-00008C410000}"/>
    <cellStyle name="Total 4_Actual" xfId="16779" xr:uid="{00000000-0005-0000-0000-00008D410000}"/>
    <cellStyle name="Total 5" xfId="16780" xr:uid="{00000000-0005-0000-0000-00008E410000}"/>
    <cellStyle name="Total 5 2" xfId="16781" xr:uid="{00000000-0005-0000-0000-00008F410000}"/>
    <cellStyle name="Total 5 2 2" xfId="16782" xr:uid="{00000000-0005-0000-0000-000090410000}"/>
    <cellStyle name="Total 5 3" xfId="16783" xr:uid="{00000000-0005-0000-0000-000091410000}"/>
    <cellStyle name="Total 5_Actual" xfId="16784" xr:uid="{00000000-0005-0000-0000-000092410000}"/>
    <cellStyle name="Total 6" xfId="16785" xr:uid="{00000000-0005-0000-0000-000093410000}"/>
    <cellStyle name="Total 6 2" xfId="16786" xr:uid="{00000000-0005-0000-0000-000094410000}"/>
    <cellStyle name="Total 6 3" xfId="16787" xr:uid="{00000000-0005-0000-0000-000095410000}"/>
    <cellStyle name="Total 7" xfId="16788" xr:uid="{00000000-0005-0000-0000-000096410000}"/>
    <cellStyle name="Total 7 2" xfId="16789" xr:uid="{00000000-0005-0000-0000-000097410000}"/>
    <cellStyle name="Total 7 3" xfId="16790" xr:uid="{00000000-0005-0000-0000-000098410000}"/>
    <cellStyle name="Total 8" xfId="16791" xr:uid="{00000000-0005-0000-0000-000099410000}"/>
    <cellStyle name="Total 8 2" xfId="16792" xr:uid="{00000000-0005-0000-0000-00009A410000}"/>
    <cellStyle name="Total 9" xfId="16793" xr:uid="{00000000-0005-0000-0000-00009B410000}"/>
    <cellStyle name="ubordinated Debt" xfId="16794" xr:uid="{00000000-0005-0000-0000-00009C410000}"/>
    <cellStyle name="underline" xfId="16795" xr:uid="{00000000-0005-0000-0000-00009D410000}"/>
    <cellStyle name="UNITS" xfId="16796" xr:uid="{00000000-0005-0000-0000-00009E410000}"/>
    <cellStyle name="Unprot" xfId="3176" xr:uid="{00000000-0005-0000-0000-00009F410000}"/>
    <cellStyle name="Unprot 2" xfId="16797" xr:uid="{00000000-0005-0000-0000-0000A0410000}"/>
    <cellStyle name="Unprot 3" xfId="16798" xr:uid="{00000000-0005-0000-0000-0000A1410000}"/>
    <cellStyle name="Unprot 4" xfId="16799" xr:uid="{00000000-0005-0000-0000-0000A2410000}"/>
    <cellStyle name="Unprot$" xfId="3177" xr:uid="{00000000-0005-0000-0000-0000A3410000}"/>
    <cellStyle name="Unprot$ 10" xfId="16800" xr:uid="{00000000-0005-0000-0000-0000A4410000}"/>
    <cellStyle name="Unprot$ 11" xfId="16801" xr:uid="{00000000-0005-0000-0000-0000A5410000}"/>
    <cellStyle name="Unprot$ 12" xfId="16802" xr:uid="{00000000-0005-0000-0000-0000A6410000}"/>
    <cellStyle name="Unprot$ 13" xfId="16803" xr:uid="{00000000-0005-0000-0000-0000A7410000}"/>
    <cellStyle name="Unprot$ 14" xfId="16804" xr:uid="{00000000-0005-0000-0000-0000A8410000}"/>
    <cellStyle name="Unprot$ 15" xfId="16805" xr:uid="{00000000-0005-0000-0000-0000A9410000}"/>
    <cellStyle name="Unprot$ 16" xfId="16806" xr:uid="{00000000-0005-0000-0000-0000AA410000}"/>
    <cellStyle name="Unprot$ 17" xfId="16807" xr:uid="{00000000-0005-0000-0000-0000AB410000}"/>
    <cellStyle name="Unprot$ 18" xfId="16808" xr:uid="{00000000-0005-0000-0000-0000AC410000}"/>
    <cellStyle name="Unprot$ 19" xfId="16809" xr:uid="{00000000-0005-0000-0000-0000AD410000}"/>
    <cellStyle name="Unprot$ 2" xfId="16810" xr:uid="{00000000-0005-0000-0000-0000AE410000}"/>
    <cellStyle name="Unprot$ 2 2" xfId="16811" xr:uid="{00000000-0005-0000-0000-0000AF410000}"/>
    <cellStyle name="Unprot$ 2 3" xfId="16812" xr:uid="{00000000-0005-0000-0000-0000B0410000}"/>
    <cellStyle name="Unprot$ 2 4" xfId="16813" xr:uid="{00000000-0005-0000-0000-0000B1410000}"/>
    <cellStyle name="Unprot$ 2_Actual" xfId="16814" xr:uid="{00000000-0005-0000-0000-0000B2410000}"/>
    <cellStyle name="Unprot$ 20" xfId="16815" xr:uid="{00000000-0005-0000-0000-0000B3410000}"/>
    <cellStyle name="Unprot$ 21" xfId="16816" xr:uid="{00000000-0005-0000-0000-0000B4410000}"/>
    <cellStyle name="Unprot$ 22" xfId="16817" xr:uid="{00000000-0005-0000-0000-0000B5410000}"/>
    <cellStyle name="Unprot$ 23" xfId="16818" xr:uid="{00000000-0005-0000-0000-0000B6410000}"/>
    <cellStyle name="Unprot$ 24" xfId="16819" xr:uid="{00000000-0005-0000-0000-0000B7410000}"/>
    <cellStyle name="Unprot$ 25" xfId="16820" xr:uid="{00000000-0005-0000-0000-0000B8410000}"/>
    <cellStyle name="Unprot$ 26" xfId="16821" xr:uid="{00000000-0005-0000-0000-0000B9410000}"/>
    <cellStyle name="Unprot$ 27" xfId="16822" xr:uid="{00000000-0005-0000-0000-0000BA410000}"/>
    <cellStyle name="Unprot$ 28" xfId="16823" xr:uid="{00000000-0005-0000-0000-0000BB410000}"/>
    <cellStyle name="Unprot$ 29" xfId="16824" xr:uid="{00000000-0005-0000-0000-0000BC410000}"/>
    <cellStyle name="Unprot$ 3" xfId="16825" xr:uid="{00000000-0005-0000-0000-0000BD410000}"/>
    <cellStyle name="Unprot$ 3 2" xfId="16826" xr:uid="{00000000-0005-0000-0000-0000BE410000}"/>
    <cellStyle name="Unprot$ 3 3" xfId="16827" xr:uid="{00000000-0005-0000-0000-0000BF410000}"/>
    <cellStyle name="Unprot$ 3 4" xfId="16828" xr:uid="{00000000-0005-0000-0000-0000C0410000}"/>
    <cellStyle name="Unprot$ 30" xfId="16829" xr:uid="{00000000-0005-0000-0000-0000C1410000}"/>
    <cellStyle name="Unprot$ 4" xfId="16830" xr:uid="{00000000-0005-0000-0000-0000C2410000}"/>
    <cellStyle name="Unprot$ 4 2" xfId="16831" xr:uid="{00000000-0005-0000-0000-0000C3410000}"/>
    <cellStyle name="Unprot$ 4 3" xfId="16832" xr:uid="{00000000-0005-0000-0000-0000C4410000}"/>
    <cellStyle name="Unprot$ 4 4" xfId="16833" xr:uid="{00000000-0005-0000-0000-0000C5410000}"/>
    <cellStyle name="Unprot$ 4_Actual" xfId="16834" xr:uid="{00000000-0005-0000-0000-0000C6410000}"/>
    <cellStyle name="Unprot$ 5" xfId="16835" xr:uid="{00000000-0005-0000-0000-0000C7410000}"/>
    <cellStyle name="Unprot$ 5 2" xfId="16836" xr:uid="{00000000-0005-0000-0000-0000C8410000}"/>
    <cellStyle name="Unprot$ 5 3" xfId="16837" xr:uid="{00000000-0005-0000-0000-0000C9410000}"/>
    <cellStyle name="Unprot$ 5 4" xfId="16838" xr:uid="{00000000-0005-0000-0000-0000CA410000}"/>
    <cellStyle name="Unprot$ 6" xfId="16839" xr:uid="{00000000-0005-0000-0000-0000CB410000}"/>
    <cellStyle name="Unprot$ 6 2" xfId="16840" xr:uid="{00000000-0005-0000-0000-0000CC410000}"/>
    <cellStyle name="Unprot$ 6 3" xfId="16841" xr:uid="{00000000-0005-0000-0000-0000CD410000}"/>
    <cellStyle name="Unprot$ 6 4" xfId="16842" xr:uid="{00000000-0005-0000-0000-0000CE410000}"/>
    <cellStyle name="Unprot$ 7" xfId="16843" xr:uid="{00000000-0005-0000-0000-0000CF410000}"/>
    <cellStyle name="Unprot$ 7 2" xfId="16844" xr:uid="{00000000-0005-0000-0000-0000D0410000}"/>
    <cellStyle name="Unprot$ 7 3" xfId="16845" xr:uid="{00000000-0005-0000-0000-0000D1410000}"/>
    <cellStyle name="Unprot$ 7 4" xfId="16846" xr:uid="{00000000-0005-0000-0000-0000D2410000}"/>
    <cellStyle name="Unprot$ 8" xfId="16847" xr:uid="{00000000-0005-0000-0000-0000D3410000}"/>
    <cellStyle name="Unprot$ 8 2" xfId="16848" xr:uid="{00000000-0005-0000-0000-0000D4410000}"/>
    <cellStyle name="Unprot$ 8 3" xfId="16849" xr:uid="{00000000-0005-0000-0000-0000D5410000}"/>
    <cellStyle name="Unprot$ 8 4" xfId="16850" xr:uid="{00000000-0005-0000-0000-0000D6410000}"/>
    <cellStyle name="Unprot$ 9" xfId="16851" xr:uid="{00000000-0005-0000-0000-0000D7410000}"/>
    <cellStyle name="Unprot$ 9 2" xfId="16852" xr:uid="{00000000-0005-0000-0000-0000D8410000}"/>
    <cellStyle name="Unprot$ 9 3" xfId="16853" xr:uid="{00000000-0005-0000-0000-0000D9410000}"/>
    <cellStyle name="Unprot$ 9 4" xfId="16854" xr:uid="{00000000-0005-0000-0000-0000DA410000}"/>
    <cellStyle name="Unprot$_120110 NFC Risk Flash" xfId="16855" xr:uid="{00000000-0005-0000-0000-0000DB410000}"/>
    <cellStyle name="Unprot_Inputs" xfId="16856" xr:uid="{00000000-0005-0000-0000-0000DC410000}"/>
    <cellStyle name="Unprotect" xfId="3178" xr:uid="{00000000-0005-0000-0000-0000DD410000}"/>
    <cellStyle name="UNSHADED" xfId="16857" xr:uid="{00000000-0005-0000-0000-0000DE410000}"/>
    <cellStyle name="User_Defined_A" xfId="16858" xr:uid="{00000000-0005-0000-0000-0000DF410000}"/>
    <cellStyle name="Warning Text 10" xfId="16859" xr:uid="{00000000-0005-0000-0000-0000E0410000}"/>
    <cellStyle name="Warning Text 11" xfId="16860" xr:uid="{00000000-0005-0000-0000-0000E1410000}"/>
    <cellStyle name="Warning Text 2" xfId="3179" xr:uid="{00000000-0005-0000-0000-0000E2410000}"/>
    <cellStyle name="Warning Text 2 2" xfId="16861" xr:uid="{00000000-0005-0000-0000-0000E3410000}"/>
    <cellStyle name="Warning Text 2 2 2" xfId="16862" xr:uid="{00000000-0005-0000-0000-0000E4410000}"/>
    <cellStyle name="Warning Text 2 3" xfId="16863" xr:uid="{00000000-0005-0000-0000-0000E5410000}"/>
    <cellStyle name="Warning Text 2 4" xfId="16864" xr:uid="{00000000-0005-0000-0000-0000E6410000}"/>
    <cellStyle name="Warning Text 2 5" xfId="16865" xr:uid="{00000000-0005-0000-0000-0000E7410000}"/>
    <cellStyle name="Warning Text 2 6" xfId="16866" xr:uid="{00000000-0005-0000-0000-0000E8410000}"/>
    <cellStyle name="Warning Text 3" xfId="3180" xr:uid="{00000000-0005-0000-0000-0000E9410000}"/>
    <cellStyle name="Warning Text 3 2" xfId="16867" xr:uid="{00000000-0005-0000-0000-0000EA410000}"/>
    <cellStyle name="Warning Text 3 2 2" xfId="16868" xr:uid="{00000000-0005-0000-0000-0000EB410000}"/>
    <cellStyle name="Warning Text 3 3" xfId="16869" xr:uid="{00000000-0005-0000-0000-0000EC410000}"/>
    <cellStyle name="Warning Text 4" xfId="3223" xr:uid="{00000000-0005-0000-0000-0000ED410000}"/>
    <cellStyle name="Warning Text 4 2" xfId="16870" xr:uid="{00000000-0005-0000-0000-0000EE410000}"/>
    <cellStyle name="Warning Text 5" xfId="16871" xr:uid="{00000000-0005-0000-0000-0000EF410000}"/>
    <cellStyle name="Warning Text 5 2" xfId="16872" xr:uid="{00000000-0005-0000-0000-0000F0410000}"/>
    <cellStyle name="Warning Text 6" xfId="16873" xr:uid="{00000000-0005-0000-0000-0000F1410000}"/>
    <cellStyle name="Warning Text 6 2" xfId="16874" xr:uid="{00000000-0005-0000-0000-0000F2410000}"/>
    <cellStyle name="Warning Text 7" xfId="16875" xr:uid="{00000000-0005-0000-0000-0000F3410000}"/>
    <cellStyle name="Warning Text 8" xfId="16876" xr:uid="{00000000-0005-0000-0000-0000F4410000}"/>
    <cellStyle name="Warning Text 9" xfId="16877" xr:uid="{00000000-0005-0000-0000-0000F5410000}"/>
    <cellStyle name="Warning Text 9 2" xfId="16878" xr:uid="{00000000-0005-0000-0000-0000F6410000}"/>
    <cellStyle name="Warning Text 9 3" xfId="16879" xr:uid="{00000000-0005-0000-0000-0000F7410000}"/>
    <cellStyle name="Year" xfId="16880" xr:uid="{00000000-0005-0000-0000-0000F8410000}"/>
  </cellStyles>
  <dxfs count="0"/>
  <tableStyles count="0" defaultTableStyle="TableStyleMedium9" defaultPivotStyle="PivotStyleLight16"/>
  <colors>
    <mruColors>
      <color rgb="FFFFFF99"/>
      <color rgb="FFFA0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tabSelected="1" workbookViewId="0">
      <selection activeCell="D28" sqref="D28"/>
    </sheetView>
  </sheetViews>
  <sheetFormatPr defaultRowHeight="15"/>
  <cols>
    <col min="2" max="2" width="42.85546875" bestFit="1" customWidth="1"/>
    <col min="3" max="3" width="20.85546875" customWidth="1"/>
    <col min="4" max="4" width="14" style="583" bestFit="1" customWidth="1"/>
    <col min="5" max="8" width="9.140625" style="583"/>
    <col min="9" max="9" width="15.28515625" style="583" bestFit="1" customWidth="1"/>
    <col min="10" max="10" width="9.140625" style="583"/>
  </cols>
  <sheetData>
    <row r="1" spans="1:11">
      <c r="A1" s="1" t="s">
        <v>0</v>
      </c>
    </row>
    <row r="2" spans="1:11">
      <c r="A2" s="1" t="s">
        <v>723</v>
      </c>
    </row>
    <row r="3" spans="1:11">
      <c r="A3" s="1"/>
      <c r="D3" s="584"/>
      <c r="E3" s="584"/>
      <c r="F3" s="584"/>
      <c r="G3" s="584"/>
      <c r="H3" s="584"/>
      <c r="I3" s="584"/>
      <c r="J3" s="584"/>
      <c r="K3" s="578"/>
    </row>
    <row r="4" spans="1:11">
      <c r="A4" s="1"/>
      <c r="C4" s="204" t="str">
        <f>+'Attachment H-1'!H4</f>
        <v>For Rates in Effect</v>
      </c>
      <c r="D4" s="584"/>
      <c r="E4" s="584"/>
      <c r="F4" s="584"/>
      <c r="G4" s="584"/>
      <c r="H4" s="584"/>
      <c r="I4" s="584"/>
      <c r="J4" s="584"/>
      <c r="K4" s="578"/>
    </row>
    <row r="5" spans="1:11">
      <c r="C5" s="448" t="str">
        <f>+'Attachment H-1'!H5</f>
        <v>6/1/25 -5/31/26</v>
      </c>
      <c r="D5" s="584"/>
      <c r="E5" s="584"/>
      <c r="F5" s="584"/>
      <c r="G5" s="584"/>
      <c r="H5" s="584"/>
      <c r="I5" s="584"/>
      <c r="J5" s="584"/>
      <c r="K5" s="578"/>
    </row>
    <row r="6" spans="1:11" ht="15.75" thickBot="1">
      <c r="C6" s="208" t="s">
        <v>1377</v>
      </c>
      <c r="D6" s="584"/>
      <c r="E6" s="584"/>
      <c r="F6" s="584"/>
      <c r="G6" s="584"/>
      <c r="H6" s="584"/>
      <c r="I6" s="584"/>
      <c r="J6" s="584"/>
      <c r="K6" s="578"/>
    </row>
    <row r="7" spans="1:11">
      <c r="D7" s="584"/>
      <c r="E7" s="584"/>
      <c r="F7" s="584"/>
      <c r="G7" s="584"/>
      <c r="H7" s="584"/>
      <c r="I7" s="584"/>
      <c r="J7" s="584"/>
      <c r="K7" s="578"/>
    </row>
    <row r="8" spans="1:11">
      <c r="B8" s="1" t="s">
        <v>655</v>
      </c>
      <c r="C8" s="71">
        <f>+'Attachment H-1'!H291</f>
        <v>194178376.98473623</v>
      </c>
      <c r="D8" s="584"/>
      <c r="E8" s="584"/>
      <c r="F8" s="584"/>
      <c r="G8" s="584"/>
      <c r="H8" s="584"/>
      <c r="I8" s="584"/>
      <c r="J8" s="584"/>
      <c r="K8" s="578"/>
    </row>
    <row r="9" spans="1:11">
      <c r="D9" s="584"/>
      <c r="E9" s="584"/>
      <c r="F9" s="584"/>
      <c r="G9" s="584"/>
      <c r="H9" s="584"/>
      <c r="I9" s="584"/>
      <c r="J9" s="584"/>
      <c r="K9" s="578"/>
    </row>
    <row r="10" spans="1:11">
      <c r="B10" s="1" t="s">
        <v>1387</v>
      </c>
      <c r="D10" s="584"/>
      <c r="E10" s="584"/>
      <c r="F10" s="584"/>
      <c r="G10" s="584"/>
      <c r="H10" s="584"/>
      <c r="I10" s="584"/>
      <c r="J10" s="584"/>
      <c r="K10" s="578"/>
    </row>
    <row r="11" spans="1:11">
      <c r="B11" t="s">
        <v>410</v>
      </c>
      <c r="C11" s="90">
        <f>+'Schedule 16 - Rate Design '!E82</f>
        <v>53.696567426712292</v>
      </c>
      <c r="D11" s="585"/>
      <c r="E11" s="585"/>
      <c r="F11" s="585"/>
      <c r="G11" s="585"/>
      <c r="H11" s="585"/>
      <c r="I11" s="584"/>
      <c r="J11" s="584"/>
      <c r="K11" s="578"/>
    </row>
    <row r="12" spans="1:11">
      <c r="B12" t="s">
        <v>411</v>
      </c>
      <c r="C12" s="90">
        <f>+'Schedule 16 - Rate Design '!E84</f>
        <v>4.4747139522260246</v>
      </c>
      <c r="D12" s="585"/>
      <c r="E12" s="585"/>
      <c r="F12" s="585"/>
      <c r="G12" s="584"/>
      <c r="H12" s="584"/>
      <c r="I12" s="584"/>
      <c r="J12" s="584"/>
      <c r="K12" s="578"/>
    </row>
    <row r="13" spans="1:11">
      <c r="B13" t="s">
        <v>412</v>
      </c>
      <c r="C13" s="90">
        <f>+'Schedule 16 - Rate Design '!E86</f>
        <v>1.0326262966675441</v>
      </c>
      <c r="D13" s="584"/>
      <c r="E13" s="584"/>
      <c r="F13" s="584"/>
      <c r="G13" s="584"/>
      <c r="H13" s="584"/>
      <c r="I13" s="584"/>
      <c r="J13" s="584"/>
      <c r="K13" s="578"/>
    </row>
    <row r="14" spans="1:11">
      <c r="B14" t="s">
        <v>413</v>
      </c>
      <c r="C14" s="210">
        <f>+'Schedule 16 - Rate Design '!E88</f>
        <v>0.17210438277792403</v>
      </c>
      <c r="D14" s="584"/>
      <c r="E14" s="584"/>
      <c r="F14" s="584"/>
      <c r="G14" s="584"/>
      <c r="H14" s="584"/>
      <c r="I14" s="584"/>
      <c r="J14" s="584"/>
      <c r="K14" s="578"/>
    </row>
    <row r="15" spans="1:11">
      <c r="B15" t="s">
        <v>414</v>
      </c>
      <c r="C15" s="211">
        <f>+'Schedule 16 - Rate Design '!E90</f>
        <v>1.0756523923620252E-2</v>
      </c>
      <c r="D15" s="584"/>
      <c r="E15" s="584"/>
      <c r="F15" s="584"/>
      <c r="G15" s="584"/>
      <c r="H15" s="584"/>
      <c r="I15" s="584"/>
      <c r="J15" s="584"/>
      <c r="K15" s="578"/>
    </row>
    <row r="16" spans="1:11">
      <c r="D16" s="584"/>
      <c r="E16" s="584"/>
      <c r="F16" s="584"/>
      <c r="G16" s="584"/>
      <c r="H16" s="584"/>
      <c r="I16" s="584"/>
      <c r="J16" s="584"/>
      <c r="K16" s="578"/>
    </row>
    <row r="17" spans="2:11">
      <c r="D17" s="584"/>
      <c r="E17" s="584"/>
      <c r="F17" s="584"/>
      <c r="G17" s="584"/>
      <c r="H17" s="584"/>
      <c r="I17" s="584"/>
      <c r="J17" s="584"/>
      <c r="K17" s="578"/>
    </row>
    <row r="18" spans="2:11">
      <c r="B18" t="s">
        <v>1389</v>
      </c>
      <c r="C18" s="43">
        <f>+'Sch 17 - Trans Demand Allocator'!B5</f>
        <v>2.7E-2</v>
      </c>
      <c r="D18" s="584"/>
      <c r="E18" s="584"/>
      <c r="F18" s="584"/>
      <c r="G18" s="584"/>
      <c r="H18" s="584"/>
      <c r="I18" s="584"/>
      <c r="J18" s="584"/>
      <c r="K18" s="578"/>
    </row>
    <row r="19" spans="2:11">
      <c r="D19" s="584"/>
      <c r="E19" s="584"/>
      <c r="F19" s="584"/>
      <c r="G19" s="584"/>
      <c r="H19" s="584"/>
      <c r="I19" s="584"/>
      <c r="J19" s="584"/>
      <c r="K19" s="578"/>
    </row>
    <row r="32" spans="2:11">
      <c r="H32" s="10"/>
    </row>
    <row r="35" spans="8:8">
      <c r="H35" s="586"/>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6"/>
  <sheetViews>
    <sheetView workbookViewId="0">
      <selection activeCell="I24" sqref="I24"/>
    </sheetView>
  </sheetViews>
  <sheetFormatPr defaultRowHeight="15"/>
  <cols>
    <col min="2" max="2" width="3.28515625" customWidth="1"/>
    <col min="3" max="3" width="63.42578125" customWidth="1"/>
    <col min="4" max="4" width="41" bestFit="1" customWidth="1"/>
    <col min="5" max="5" width="38.7109375" bestFit="1" customWidth="1"/>
    <col min="7" max="7" width="15.42578125" bestFit="1" customWidth="1"/>
    <col min="9" max="9" width="14.7109375" customWidth="1"/>
    <col min="12" max="12" width="12.28515625" bestFit="1" customWidth="1"/>
  </cols>
  <sheetData>
    <row r="1" spans="1:8">
      <c r="A1" s="1" t="s">
        <v>0</v>
      </c>
    </row>
    <row r="2" spans="1:8">
      <c r="A2" s="1" t="s">
        <v>109</v>
      </c>
    </row>
    <row r="3" spans="1:8">
      <c r="A3" s="1"/>
    </row>
    <row r="4" spans="1:8">
      <c r="A4" s="1"/>
    </row>
    <row r="5" spans="1:8">
      <c r="A5" s="1"/>
      <c r="B5" s="93" t="s">
        <v>672</v>
      </c>
      <c r="C5" t="s">
        <v>673</v>
      </c>
    </row>
    <row r="6" spans="1:8" ht="15.75" thickBot="1">
      <c r="A6" s="1"/>
    </row>
    <row r="7" spans="1:8">
      <c r="C7" s="35" t="s">
        <v>105</v>
      </c>
      <c r="D7" s="36" t="s">
        <v>11</v>
      </c>
      <c r="E7" s="36" t="s">
        <v>103</v>
      </c>
      <c r="F7" s="6"/>
      <c r="G7" s="6"/>
      <c r="H7" s="8"/>
    </row>
    <row r="8" spans="1:8">
      <c r="C8" s="20" t="s">
        <v>110</v>
      </c>
      <c r="H8" s="11"/>
    </row>
    <row r="9" spans="1:8">
      <c r="C9" s="9"/>
      <c r="D9" t="s">
        <v>332</v>
      </c>
      <c r="E9" s="277"/>
      <c r="H9" s="11"/>
    </row>
    <row r="10" spans="1:8">
      <c r="C10" s="20" t="s">
        <v>111</v>
      </c>
      <c r="E10" s="10">
        <f>+E9</f>
        <v>0</v>
      </c>
      <c r="F10" t="s">
        <v>674</v>
      </c>
      <c r="H10" s="11"/>
    </row>
    <row r="11" spans="1:8">
      <c r="C11" s="9"/>
      <c r="H11" s="11"/>
    </row>
    <row r="12" spans="1:8">
      <c r="C12" s="20" t="s">
        <v>112</v>
      </c>
      <c r="H12" s="11"/>
    </row>
    <row r="13" spans="1:8">
      <c r="C13" s="9" t="s">
        <v>116</v>
      </c>
      <c r="D13" t="s">
        <v>677</v>
      </c>
      <c r="E13" s="84">
        <v>71359235</v>
      </c>
      <c r="H13" s="11"/>
    </row>
    <row r="14" spans="1:8">
      <c r="C14" s="9" t="s">
        <v>1436</v>
      </c>
      <c r="D14" t="s">
        <v>678</v>
      </c>
      <c r="E14" s="84">
        <v>546891</v>
      </c>
      <c r="H14" s="11"/>
    </row>
    <row r="15" spans="1:8">
      <c r="C15" s="9" t="s">
        <v>117</v>
      </c>
      <c r="D15" t="s">
        <v>679</v>
      </c>
      <c r="E15" s="84">
        <v>8859090</v>
      </c>
      <c r="H15" s="11"/>
    </row>
    <row r="16" spans="1:8">
      <c r="C16" s="9" t="s">
        <v>1760</v>
      </c>
      <c r="D16" t="s">
        <v>1803</v>
      </c>
      <c r="E16" s="84">
        <v>2061873</v>
      </c>
      <c r="H16" s="11"/>
    </row>
    <row r="17" spans="3:8">
      <c r="C17" s="9" t="s">
        <v>1637</v>
      </c>
      <c r="D17" t="s">
        <v>1804</v>
      </c>
      <c r="E17" s="84">
        <v>14613417</v>
      </c>
      <c r="H17" s="11"/>
    </row>
    <row r="18" spans="3:8">
      <c r="C18" s="9" t="s">
        <v>118</v>
      </c>
      <c r="D18" t="s">
        <v>680</v>
      </c>
      <c r="E18" s="84">
        <v>846735</v>
      </c>
      <c r="H18" s="11"/>
    </row>
    <row r="19" spans="3:8">
      <c r="C19" s="9" t="s">
        <v>119</v>
      </c>
      <c r="D19" t="s">
        <v>681</v>
      </c>
      <c r="E19" s="84">
        <v>170690611</v>
      </c>
      <c r="H19" s="11"/>
    </row>
    <row r="20" spans="3:8">
      <c r="C20" s="9" t="s">
        <v>1437</v>
      </c>
      <c r="D20" t="s">
        <v>1392</v>
      </c>
      <c r="E20" s="84">
        <v>65250921</v>
      </c>
      <c r="H20" s="11"/>
    </row>
    <row r="21" spans="3:8">
      <c r="C21" s="9" t="s">
        <v>1653</v>
      </c>
      <c r="D21" t="s">
        <v>1394</v>
      </c>
      <c r="E21" s="84">
        <v>88400246</v>
      </c>
      <c r="H21" s="11"/>
    </row>
    <row r="22" spans="3:8">
      <c r="C22" s="9" t="s">
        <v>1654</v>
      </c>
      <c r="D22" t="s">
        <v>1805</v>
      </c>
      <c r="E22" s="84">
        <v>18731022</v>
      </c>
      <c r="H22" s="11"/>
    </row>
    <row r="23" spans="3:8">
      <c r="C23" s="9" t="s">
        <v>1655</v>
      </c>
      <c r="D23" t="s">
        <v>1748</v>
      </c>
      <c r="E23" s="84">
        <v>56674</v>
      </c>
      <c r="H23" s="11"/>
    </row>
    <row r="24" spans="3:8">
      <c r="C24" s="9" t="s">
        <v>1656</v>
      </c>
      <c r="D24" t="s">
        <v>1659</v>
      </c>
      <c r="E24" s="84">
        <v>495307</v>
      </c>
      <c r="H24" s="11"/>
    </row>
    <row r="25" spans="3:8">
      <c r="C25" s="9" t="s">
        <v>1657</v>
      </c>
      <c r="D25" t="s">
        <v>1806</v>
      </c>
      <c r="E25" s="84">
        <v>5664218</v>
      </c>
      <c r="H25" s="11"/>
    </row>
    <row r="26" spans="3:8">
      <c r="C26" s="9" t="s">
        <v>1750</v>
      </c>
      <c r="D26" t="s">
        <v>1807</v>
      </c>
      <c r="E26" s="84">
        <v>0</v>
      </c>
      <c r="H26" s="11"/>
    </row>
    <row r="27" spans="3:8">
      <c r="C27" s="9" t="s">
        <v>1658</v>
      </c>
      <c r="D27" t="s">
        <v>1808</v>
      </c>
      <c r="E27" s="84">
        <v>2644101</v>
      </c>
      <c r="H27" s="11"/>
    </row>
    <row r="28" spans="3:8">
      <c r="C28" s="9" t="s">
        <v>1762</v>
      </c>
      <c r="D28" t="s">
        <v>1809</v>
      </c>
      <c r="E28" s="84">
        <v>5020133</v>
      </c>
      <c r="H28" s="11"/>
    </row>
    <row r="29" spans="3:8">
      <c r="C29" s="9" t="s">
        <v>1751</v>
      </c>
      <c r="D29" t="s">
        <v>1810</v>
      </c>
      <c r="E29" s="84">
        <v>18736867</v>
      </c>
      <c r="H29" s="11"/>
    </row>
    <row r="30" spans="3:8">
      <c r="C30" s="9" t="s">
        <v>1752</v>
      </c>
      <c r="E30" s="84">
        <v>0</v>
      </c>
      <c r="H30" s="11"/>
    </row>
    <row r="31" spans="3:8">
      <c r="C31" s="9" t="s">
        <v>1755</v>
      </c>
      <c r="D31" t="s">
        <v>1749</v>
      </c>
      <c r="E31" s="84">
        <v>43176094</v>
      </c>
      <c r="H31" s="11"/>
    </row>
    <row r="32" spans="3:8">
      <c r="C32" s="9" t="s">
        <v>1756</v>
      </c>
      <c r="D32" t="s">
        <v>1660</v>
      </c>
      <c r="E32" s="84">
        <v>55272</v>
      </c>
      <c r="H32" s="11"/>
    </row>
    <row r="33" spans="2:12">
      <c r="C33" s="9" t="s">
        <v>1757</v>
      </c>
      <c r="D33" t="s">
        <v>1749</v>
      </c>
      <c r="E33" s="84">
        <v>37545338</v>
      </c>
      <c r="H33" s="11"/>
    </row>
    <row r="34" spans="2:12">
      <c r="C34" s="9" t="s">
        <v>1758</v>
      </c>
      <c r="D34" t="s">
        <v>1661</v>
      </c>
      <c r="E34" s="84">
        <v>4831371</v>
      </c>
      <c r="H34" s="11"/>
    </row>
    <row r="35" spans="2:12" ht="15.75" thickBot="1">
      <c r="C35" s="9" t="s">
        <v>1759</v>
      </c>
      <c r="D35" t="s">
        <v>1638</v>
      </c>
      <c r="E35" s="351">
        <v>2019285</v>
      </c>
      <c r="H35" s="11"/>
    </row>
    <row r="36" spans="2:12">
      <c r="B36" s="1"/>
      <c r="C36" s="20" t="s">
        <v>113</v>
      </c>
      <c r="E36" s="47">
        <f>SUM(E13:E35)</f>
        <v>561604701</v>
      </c>
      <c r="H36" s="11"/>
    </row>
    <row r="37" spans="2:12">
      <c r="C37" s="9"/>
      <c r="H37" s="11"/>
    </row>
    <row r="38" spans="2:12" ht="15.75" thickBot="1">
      <c r="C38" s="20" t="s">
        <v>114</v>
      </c>
      <c r="D38" t="s">
        <v>120</v>
      </c>
      <c r="E38" s="18">
        <f>+E10+E36</f>
        <v>561604701</v>
      </c>
      <c r="H38" s="11"/>
    </row>
    <row r="39" spans="2:12" ht="15.75" thickTop="1">
      <c r="C39" s="9"/>
      <c r="H39" s="11"/>
    </row>
    <row r="40" spans="2:12">
      <c r="C40" s="9"/>
      <c r="H40" s="11"/>
    </row>
    <row r="41" spans="2:12">
      <c r="C41" s="9"/>
      <c r="H41" s="11"/>
    </row>
    <row r="42" spans="2:12">
      <c r="C42" s="33" t="s">
        <v>105</v>
      </c>
      <c r="D42" s="34" t="s">
        <v>11</v>
      </c>
      <c r="E42" s="34" t="s">
        <v>104</v>
      </c>
      <c r="H42" s="11"/>
    </row>
    <row r="43" spans="2:12">
      <c r="C43" s="20" t="s">
        <v>110</v>
      </c>
      <c r="H43" s="11"/>
    </row>
    <row r="44" spans="2:12">
      <c r="C44" s="9"/>
      <c r="D44" t="s">
        <v>332</v>
      </c>
      <c r="E44" s="277"/>
      <c r="H44" s="11"/>
    </row>
    <row r="45" spans="2:12">
      <c r="C45" s="20" t="s">
        <v>111</v>
      </c>
      <c r="E45" s="10">
        <f>+E44</f>
        <v>0</v>
      </c>
      <c r="F45" t="s">
        <v>675</v>
      </c>
      <c r="H45" s="11"/>
      <c r="L45" s="47"/>
    </row>
    <row r="46" spans="2:12">
      <c r="C46" s="9"/>
      <c r="H46" s="11"/>
    </row>
    <row r="47" spans="2:12">
      <c r="C47" s="20" t="s">
        <v>112</v>
      </c>
      <c r="H47" s="11"/>
    </row>
    <row r="48" spans="2:12">
      <c r="C48" s="9" t="s">
        <v>116</v>
      </c>
      <c r="D48" t="s">
        <v>686</v>
      </c>
      <c r="E48" s="84">
        <v>74924925</v>
      </c>
      <c r="G48" s="47"/>
      <c r="H48" s="11"/>
    </row>
    <row r="49" spans="3:8">
      <c r="C49" s="9" t="s">
        <v>1436</v>
      </c>
      <c r="D49" t="s">
        <v>682</v>
      </c>
      <c r="E49" s="84">
        <v>0</v>
      </c>
      <c r="G49" s="47"/>
      <c r="H49" s="11"/>
    </row>
    <row r="50" spans="3:8">
      <c r="C50" s="9" t="s">
        <v>117</v>
      </c>
      <c r="D50" t="s">
        <v>683</v>
      </c>
      <c r="E50" s="84">
        <v>8014644</v>
      </c>
      <c r="G50" s="47"/>
      <c r="H50" s="11"/>
    </row>
    <row r="51" spans="3:8">
      <c r="C51" s="9" t="s">
        <v>1760</v>
      </c>
      <c r="D51" t="s">
        <v>1761</v>
      </c>
      <c r="E51" s="84">
        <v>3545751</v>
      </c>
      <c r="G51" s="47"/>
      <c r="H51" s="11"/>
    </row>
    <row r="52" spans="3:8">
      <c r="C52" s="9" t="s">
        <v>1637</v>
      </c>
      <c r="D52" t="s">
        <v>1811</v>
      </c>
      <c r="E52" s="84">
        <v>39048531</v>
      </c>
      <c r="G52" s="47"/>
      <c r="H52" s="11"/>
    </row>
    <row r="53" spans="3:8">
      <c r="C53" s="9" t="s">
        <v>118</v>
      </c>
      <c r="D53" t="s">
        <v>684</v>
      </c>
      <c r="E53" s="84">
        <v>509258</v>
      </c>
      <c r="G53" s="47"/>
      <c r="H53" s="11"/>
    </row>
    <row r="54" spans="3:8">
      <c r="C54" s="9" t="s">
        <v>119</v>
      </c>
      <c r="D54" t="s">
        <v>685</v>
      </c>
      <c r="E54" s="84">
        <v>173678991</v>
      </c>
      <c r="G54" s="47"/>
      <c r="H54" s="11"/>
    </row>
    <row r="55" spans="3:8">
      <c r="C55" s="9" t="s">
        <v>1437</v>
      </c>
      <c r="D55" t="s">
        <v>1400</v>
      </c>
      <c r="E55" s="84">
        <v>30486195</v>
      </c>
      <c r="G55" s="47"/>
      <c r="H55" s="11"/>
    </row>
    <row r="56" spans="3:8">
      <c r="C56" s="9" t="s">
        <v>1653</v>
      </c>
      <c r="D56" t="s">
        <v>1395</v>
      </c>
      <c r="E56" s="84">
        <v>82123310</v>
      </c>
      <c r="G56" s="47"/>
      <c r="H56" s="11"/>
    </row>
    <row r="57" spans="3:8">
      <c r="C57" s="9" t="s">
        <v>1654</v>
      </c>
      <c r="D57" t="s">
        <v>1812</v>
      </c>
      <c r="E57" s="84">
        <v>15189151</v>
      </c>
      <c r="G57" s="47"/>
      <c r="H57" s="11"/>
    </row>
    <row r="58" spans="3:8">
      <c r="C58" s="9" t="s">
        <v>1655</v>
      </c>
      <c r="D58" t="s">
        <v>1753</v>
      </c>
      <c r="E58" s="84">
        <v>23449</v>
      </c>
      <c r="G58" s="47"/>
      <c r="H58" s="11"/>
    </row>
    <row r="59" spans="3:8">
      <c r="C59" s="9" t="s">
        <v>1656</v>
      </c>
      <c r="D59" t="s">
        <v>1662</v>
      </c>
      <c r="E59" s="84">
        <v>475866</v>
      </c>
      <c r="G59" s="47"/>
      <c r="H59" s="11"/>
    </row>
    <row r="60" spans="3:8">
      <c r="C60" s="9" t="s">
        <v>1657</v>
      </c>
      <c r="D60" t="s">
        <v>1813</v>
      </c>
      <c r="E60" s="84">
        <v>3328280</v>
      </c>
      <c r="G60" s="47"/>
      <c r="H60" s="11"/>
    </row>
    <row r="61" spans="3:8">
      <c r="C61" s="9" t="s">
        <v>1750</v>
      </c>
      <c r="D61" t="s">
        <v>1814</v>
      </c>
      <c r="E61" s="84">
        <v>5737494</v>
      </c>
      <c r="G61" s="47"/>
      <c r="H61" s="11"/>
    </row>
    <row r="62" spans="3:8">
      <c r="C62" s="9" t="s">
        <v>1658</v>
      </c>
      <c r="D62" t="s">
        <v>1815</v>
      </c>
      <c r="E62" s="84">
        <v>4942485</v>
      </c>
      <c r="G62" s="47"/>
      <c r="H62" s="11"/>
    </row>
    <row r="63" spans="3:8">
      <c r="C63" s="9" t="s">
        <v>1762</v>
      </c>
      <c r="D63" t="s">
        <v>1816</v>
      </c>
      <c r="E63" s="84">
        <v>0</v>
      </c>
      <c r="G63" s="47"/>
      <c r="H63" s="11"/>
    </row>
    <row r="64" spans="3:8">
      <c r="C64" s="9" t="s">
        <v>1751</v>
      </c>
      <c r="D64" t="s">
        <v>1817</v>
      </c>
      <c r="E64" s="84">
        <v>17680622</v>
      </c>
      <c r="G64" s="47"/>
      <c r="H64" s="11"/>
    </row>
    <row r="65" spans="1:8">
      <c r="C65" s="9" t="s">
        <v>1818</v>
      </c>
      <c r="D65" t="s">
        <v>1819</v>
      </c>
      <c r="E65" s="84">
        <v>1244025</v>
      </c>
      <c r="G65" s="47"/>
      <c r="H65" s="11"/>
    </row>
    <row r="66" spans="1:8">
      <c r="C66" s="9" t="s">
        <v>1820</v>
      </c>
      <c r="D66" t="s">
        <v>1754</v>
      </c>
      <c r="E66" s="84">
        <v>82849150</v>
      </c>
      <c r="G66" s="47"/>
      <c r="H66" s="11"/>
    </row>
    <row r="67" spans="1:8">
      <c r="C67" s="9" t="s">
        <v>1756</v>
      </c>
      <c r="D67" t="s">
        <v>1663</v>
      </c>
      <c r="E67" s="84">
        <v>133075</v>
      </c>
      <c r="G67" s="47"/>
      <c r="H67" s="11"/>
    </row>
    <row r="68" spans="1:8">
      <c r="C68" s="9" t="s">
        <v>1822</v>
      </c>
      <c r="D68" t="s">
        <v>1821</v>
      </c>
      <c r="E68" s="84">
        <v>656652</v>
      </c>
      <c r="G68" s="47"/>
      <c r="H68" s="11"/>
    </row>
    <row r="69" spans="1:8">
      <c r="C69" s="9" t="s">
        <v>1758</v>
      </c>
      <c r="D69" t="s">
        <v>1664</v>
      </c>
      <c r="E69" s="84">
        <v>3905358</v>
      </c>
      <c r="G69" s="47"/>
      <c r="H69" s="11"/>
    </row>
    <row r="70" spans="1:8" ht="15.75" thickBot="1">
      <c r="C70" s="9" t="s">
        <v>1759</v>
      </c>
      <c r="D70" t="s">
        <v>1636</v>
      </c>
      <c r="E70" s="351">
        <v>1973778</v>
      </c>
      <c r="G70" s="47"/>
      <c r="H70" s="11"/>
    </row>
    <row r="71" spans="1:8">
      <c r="C71" s="20" t="s">
        <v>113</v>
      </c>
      <c r="E71" s="47">
        <f>SUM(E48:E70)</f>
        <v>550470990</v>
      </c>
      <c r="F71" s="47"/>
      <c r="H71" s="11"/>
    </row>
    <row r="72" spans="1:8">
      <c r="C72" s="9"/>
      <c r="H72" s="11"/>
    </row>
    <row r="73" spans="1:8" ht="15.75" thickBot="1">
      <c r="C73" s="20" t="s">
        <v>114</v>
      </c>
      <c r="D73" t="s">
        <v>1393</v>
      </c>
      <c r="E73" s="18">
        <f>+E45+E71</f>
        <v>550470990</v>
      </c>
      <c r="H73" s="11"/>
    </row>
    <row r="74" spans="1:8" ht="15.75" thickTop="1">
      <c r="C74" s="9"/>
      <c r="H74" s="11"/>
    </row>
    <row r="75" spans="1:8">
      <c r="C75" s="9"/>
      <c r="H75" s="11"/>
    </row>
    <row r="76" spans="1:8">
      <c r="A76" s="1"/>
      <c r="C76" s="9" t="s">
        <v>115</v>
      </c>
      <c r="D76" t="s">
        <v>676</v>
      </c>
      <c r="E76" s="37">
        <f>(E10+E45)/2</f>
        <v>0</v>
      </c>
      <c r="F76" t="s">
        <v>593</v>
      </c>
      <c r="H76" s="11"/>
    </row>
    <row r="77" spans="1:8" ht="15.75" thickBot="1">
      <c r="C77" s="14"/>
      <c r="D77" s="15"/>
      <c r="E77" s="15"/>
      <c r="F77" s="15"/>
      <c r="G77" s="15"/>
      <c r="H77" s="17"/>
    </row>
    <row r="78" spans="1:8">
      <c r="B78" s="1"/>
    </row>
    <row r="83" spans="5:5">
      <c r="E83" s="10"/>
    </row>
    <row r="84" spans="5:5">
      <c r="E84" s="10"/>
    </row>
    <row r="85" spans="5:5">
      <c r="E85" s="10"/>
    </row>
    <row r="86" spans="5:5">
      <c r="E86" s="10"/>
    </row>
    <row r="87" spans="5:5">
      <c r="E87" s="10"/>
    </row>
    <row r="88" spans="5:5">
      <c r="E88" s="10"/>
    </row>
    <row r="89" spans="5:5">
      <c r="E89" s="10"/>
    </row>
    <row r="90" spans="5:5">
      <c r="E90" s="10"/>
    </row>
    <row r="91" spans="5:5">
      <c r="E91" s="10"/>
    </row>
    <row r="93" spans="5:5">
      <c r="E93" s="19"/>
    </row>
    <row r="94" spans="5:5">
      <c r="E94" s="10"/>
    </row>
    <row r="95" spans="5:5">
      <c r="E95" s="10"/>
    </row>
    <row r="96" spans="5:5">
      <c r="E96" s="10"/>
    </row>
  </sheetData>
  <pageMargins left="0.7" right="0.7" top="0.75" bottom="0.75" header="0.3" footer="0.3"/>
  <pageSetup scale="71" fitToHeight="0" orientation="landscape" r:id="rId1"/>
  <rowBreaks count="1" manualBreakCount="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3"/>
  <sheetViews>
    <sheetView workbookViewId="0">
      <selection activeCell="K17" sqref="K17"/>
    </sheetView>
  </sheetViews>
  <sheetFormatPr defaultRowHeight="15"/>
  <cols>
    <col min="2" max="2" width="3.28515625" customWidth="1"/>
    <col min="3" max="3" width="52.7109375" bestFit="1" customWidth="1"/>
    <col min="4" max="4" width="34.5703125" bestFit="1" customWidth="1"/>
    <col min="5" max="5" width="36.42578125" bestFit="1" customWidth="1"/>
  </cols>
  <sheetData>
    <row r="1" spans="1:13">
      <c r="A1" s="1" t="s">
        <v>0</v>
      </c>
    </row>
    <row r="2" spans="1:13">
      <c r="A2" s="1" t="s">
        <v>752</v>
      </c>
    </row>
    <row r="3" spans="1:13">
      <c r="A3" s="1"/>
    </row>
    <row r="4" spans="1:13">
      <c r="A4" s="1"/>
      <c r="B4" s="93" t="s">
        <v>672</v>
      </c>
      <c r="C4" t="s">
        <v>875</v>
      </c>
    </row>
    <row r="5" spans="1:13">
      <c r="A5" s="1"/>
      <c r="B5" s="93"/>
      <c r="C5" t="s">
        <v>753</v>
      </c>
    </row>
    <row r="6" spans="1:13" ht="15.75" thickBot="1">
      <c r="A6" s="1"/>
    </row>
    <row r="7" spans="1:13">
      <c r="C7" s="30" t="s">
        <v>105</v>
      </c>
      <c r="D7" s="31" t="s">
        <v>11</v>
      </c>
      <c r="E7" s="31" t="s">
        <v>103</v>
      </c>
      <c r="F7" s="6"/>
      <c r="G7" s="6"/>
      <c r="H7" s="8"/>
    </row>
    <row r="8" spans="1:13">
      <c r="C8" s="20" t="s">
        <v>127</v>
      </c>
      <c r="H8" s="11"/>
    </row>
    <row r="9" spans="1:13">
      <c r="C9" s="9" t="s">
        <v>129</v>
      </c>
      <c r="D9" t="s">
        <v>1402</v>
      </c>
      <c r="E9" s="84">
        <v>54888737</v>
      </c>
      <c r="H9" s="11"/>
      <c r="J9" s="12"/>
      <c r="K9" s="12"/>
      <c r="L9" s="12"/>
      <c r="M9" s="12"/>
    </row>
    <row r="10" spans="1:13">
      <c r="C10" s="9" t="s">
        <v>133</v>
      </c>
      <c r="D10" t="s">
        <v>27</v>
      </c>
      <c r="E10" s="84">
        <v>0</v>
      </c>
      <c r="H10" s="11"/>
    </row>
    <row r="11" spans="1:13">
      <c r="C11" s="20" t="s">
        <v>124</v>
      </c>
      <c r="E11" s="10">
        <f>SUM(E9:E10)</f>
        <v>54888737</v>
      </c>
      <c r="F11" t="s">
        <v>674</v>
      </c>
      <c r="H11" s="11"/>
    </row>
    <row r="12" spans="1:13">
      <c r="C12" s="9"/>
      <c r="E12" s="10"/>
      <c r="H12" s="11"/>
    </row>
    <row r="13" spans="1:13">
      <c r="C13" s="20" t="s">
        <v>123</v>
      </c>
      <c r="E13" s="10"/>
      <c r="H13" s="11"/>
    </row>
    <row r="14" spans="1:13">
      <c r="C14" s="9" t="s">
        <v>130</v>
      </c>
      <c r="D14" t="s">
        <v>1401</v>
      </c>
      <c r="E14" s="84">
        <v>5080210</v>
      </c>
      <c r="H14" s="11"/>
    </row>
    <row r="15" spans="1:13">
      <c r="C15" s="9" t="s">
        <v>890</v>
      </c>
      <c r="D15" t="s">
        <v>135</v>
      </c>
      <c r="E15" s="84">
        <v>782142</v>
      </c>
      <c r="H15" s="11"/>
    </row>
    <row r="16" spans="1:13">
      <c r="C16" s="9" t="s">
        <v>891</v>
      </c>
      <c r="D16" t="s">
        <v>1399</v>
      </c>
      <c r="E16" s="84">
        <v>0</v>
      </c>
      <c r="H16" s="11"/>
    </row>
    <row r="17" spans="2:8">
      <c r="C17" s="9" t="s">
        <v>131</v>
      </c>
      <c r="D17" t="s">
        <v>136</v>
      </c>
      <c r="E17" s="84">
        <v>4160848</v>
      </c>
      <c r="H17" s="11"/>
    </row>
    <row r="18" spans="2:8">
      <c r="C18" s="9" t="s">
        <v>132</v>
      </c>
      <c r="D18" t="s">
        <v>1786</v>
      </c>
      <c r="E18" s="84">
        <v>51632295</v>
      </c>
      <c r="H18" s="11"/>
    </row>
    <row r="19" spans="2:8">
      <c r="C19" s="9" t="s">
        <v>133</v>
      </c>
      <c r="D19" t="s">
        <v>1787</v>
      </c>
      <c r="E19" s="84">
        <v>612490</v>
      </c>
      <c r="H19" s="11"/>
    </row>
    <row r="20" spans="2:8">
      <c r="C20" s="9" t="s">
        <v>1665</v>
      </c>
      <c r="D20" t="s">
        <v>1788</v>
      </c>
      <c r="E20" s="84">
        <v>15000000</v>
      </c>
      <c r="H20" s="11"/>
    </row>
    <row r="21" spans="2:8">
      <c r="C21" s="9" t="s">
        <v>1667</v>
      </c>
      <c r="D21" t="s">
        <v>1666</v>
      </c>
      <c r="E21" s="84">
        <v>22115722</v>
      </c>
      <c r="H21" s="11"/>
    </row>
    <row r="22" spans="2:8">
      <c r="C22" s="9" t="s">
        <v>1409</v>
      </c>
      <c r="D22" t="s">
        <v>1399</v>
      </c>
      <c r="E22" s="84">
        <v>0</v>
      </c>
      <c r="H22" s="11"/>
    </row>
    <row r="23" spans="2:8">
      <c r="C23" s="9" t="s">
        <v>157</v>
      </c>
      <c r="D23" t="s">
        <v>1792</v>
      </c>
      <c r="E23" s="84">
        <v>3501613</v>
      </c>
      <c r="F23" s="47"/>
      <c r="H23" s="11"/>
    </row>
    <row r="24" spans="2:8">
      <c r="C24" s="20" t="s">
        <v>125</v>
      </c>
      <c r="E24" s="10">
        <f>SUM(E14:E23)</f>
        <v>102885320</v>
      </c>
      <c r="H24" s="11"/>
    </row>
    <row r="25" spans="2:8">
      <c r="C25" s="9"/>
      <c r="E25" s="10"/>
      <c r="H25" s="11"/>
    </row>
    <row r="26" spans="2:8" ht="15.75" thickBot="1">
      <c r="C26" s="20" t="s">
        <v>126</v>
      </c>
      <c r="D26" t="s">
        <v>161</v>
      </c>
      <c r="E26" s="18">
        <f>+E11+E24</f>
        <v>157774057</v>
      </c>
      <c r="F26" s="47"/>
      <c r="H26" s="11"/>
    </row>
    <row r="27" spans="2:8" ht="15.75" thickTop="1">
      <c r="C27" s="9"/>
      <c r="H27" s="11"/>
    </row>
    <row r="28" spans="2:8">
      <c r="C28" s="9"/>
      <c r="H28" s="11"/>
    </row>
    <row r="29" spans="2:8">
      <c r="B29" s="1"/>
      <c r="C29" s="9"/>
      <c r="H29" s="11"/>
    </row>
    <row r="30" spans="2:8">
      <c r="C30" s="32" t="s">
        <v>105</v>
      </c>
      <c r="D30" s="4" t="s">
        <v>11</v>
      </c>
      <c r="E30" s="4" t="s">
        <v>104</v>
      </c>
      <c r="H30" s="11"/>
    </row>
    <row r="31" spans="2:8">
      <c r="C31" s="20" t="s">
        <v>127</v>
      </c>
      <c r="H31" s="11"/>
    </row>
    <row r="32" spans="2:8">
      <c r="C32" s="9" t="s">
        <v>129</v>
      </c>
      <c r="D32" t="s">
        <v>1403</v>
      </c>
      <c r="E32" s="84">
        <v>62000505</v>
      </c>
      <c r="H32" s="11"/>
    </row>
    <row r="33" spans="3:8">
      <c r="C33" s="9" t="s">
        <v>133</v>
      </c>
      <c r="D33" t="s">
        <v>27</v>
      </c>
      <c r="E33" s="84">
        <v>0</v>
      </c>
      <c r="H33" s="11"/>
    </row>
    <row r="34" spans="3:8">
      <c r="C34" s="20" t="s">
        <v>124</v>
      </c>
      <c r="E34" s="10">
        <f>SUM(E32:E33)</f>
        <v>62000505</v>
      </c>
      <c r="F34" t="s">
        <v>675</v>
      </c>
      <c r="H34" s="11"/>
    </row>
    <row r="35" spans="3:8">
      <c r="C35" s="9"/>
      <c r="E35" s="10"/>
      <c r="H35" s="11"/>
    </row>
    <row r="36" spans="3:8">
      <c r="C36" s="20" t="s">
        <v>123</v>
      </c>
      <c r="E36" s="10"/>
      <c r="H36" s="11"/>
    </row>
    <row r="37" spans="3:8">
      <c r="C37" s="9" t="s">
        <v>130</v>
      </c>
      <c r="D37" t="s">
        <v>1404</v>
      </c>
      <c r="E37" s="84">
        <v>9378808</v>
      </c>
      <c r="F37" s="47"/>
      <c r="H37" s="11"/>
    </row>
    <row r="38" spans="3:8">
      <c r="C38" s="9" t="s">
        <v>890</v>
      </c>
      <c r="D38" t="s">
        <v>761</v>
      </c>
      <c r="E38" s="84">
        <v>739285</v>
      </c>
      <c r="F38" s="47"/>
      <c r="H38" s="11"/>
    </row>
    <row r="39" spans="3:8">
      <c r="C39" s="9" t="s">
        <v>891</v>
      </c>
      <c r="D39" t="s">
        <v>1399</v>
      </c>
      <c r="E39" s="84">
        <v>0</v>
      </c>
      <c r="F39" s="47"/>
      <c r="H39" s="11"/>
    </row>
    <row r="40" spans="3:8">
      <c r="C40" s="9" t="s">
        <v>131</v>
      </c>
      <c r="D40" t="s">
        <v>762</v>
      </c>
      <c r="E40" s="84">
        <v>5384409</v>
      </c>
      <c r="F40" s="47"/>
      <c r="H40" s="11"/>
    </row>
    <row r="41" spans="3:8">
      <c r="C41" s="9" t="s">
        <v>132</v>
      </c>
      <c r="D41" t="s">
        <v>1789</v>
      </c>
      <c r="E41" s="84">
        <v>51632295</v>
      </c>
      <c r="F41" s="47"/>
      <c r="H41" s="11"/>
    </row>
    <row r="42" spans="3:8">
      <c r="C42" s="9" t="s">
        <v>133</v>
      </c>
      <c r="D42" t="s">
        <v>1790</v>
      </c>
      <c r="E42" s="84">
        <v>0</v>
      </c>
      <c r="F42" s="47"/>
      <c r="H42" s="11"/>
    </row>
    <row r="43" spans="3:8">
      <c r="C43" s="9" t="s">
        <v>1665</v>
      </c>
      <c r="D43" t="s">
        <v>1791</v>
      </c>
      <c r="E43" s="84">
        <v>0</v>
      </c>
      <c r="F43" s="47"/>
      <c r="H43" s="11"/>
    </row>
    <row r="44" spans="3:8">
      <c r="C44" s="9" t="s">
        <v>1667</v>
      </c>
      <c r="D44" t="s">
        <v>1668</v>
      </c>
      <c r="E44" s="84">
        <v>32017643</v>
      </c>
      <c r="F44" s="47"/>
      <c r="H44" s="11"/>
    </row>
    <row r="45" spans="3:8">
      <c r="C45" s="9" t="s">
        <v>1409</v>
      </c>
      <c r="D45" t="s">
        <v>1399</v>
      </c>
      <c r="E45" s="84">
        <v>0</v>
      </c>
      <c r="F45" s="47"/>
      <c r="H45" s="11"/>
    </row>
    <row r="46" spans="3:8">
      <c r="C46" s="9" t="s">
        <v>157</v>
      </c>
      <c r="D46" t="s">
        <v>1793</v>
      </c>
      <c r="E46" s="84">
        <v>9949146</v>
      </c>
      <c r="F46" s="47"/>
      <c r="H46" s="11"/>
    </row>
    <row r="47" spans="3:8">
      <c r="C47" s="20" t="s">
        <v>125</v>
      </c>
      <c r="E47" s="10">
        <f>SUM(E37:E46)</f>
        <v>109101586</v>
      </c>
      <c r="H47" s="11"/>
    </row>
    <row r="48" spans="3:8">
      <c r="C48" s="9"/>
      <c r="E48" s="10"/>
      <c r="H48" s="11"/>
    </row>
    <row r="49" spans="1:8" ht="15.75" thickBot="1">
      <c r="C49" s="20" t="s">
        <v>126</v>
      </c>
      <c r="D49" t="s">
        <v>134</v>
      </c>
      <c r="E49" s="18">
        <f>+E34+E47</f>
        <v>171102091</v>
      </c>
      <c r="H49" s="11"/>
    </row>
    <row r="50" spans="1:8" ht="15.75" thickTop="1">
      <c r="C50" s="9"/>
      <c r="H50" s="11"/>
    </row>
    <row r="51" spans="1:8">
      <c r="C51" s="9" t="s">
        <v>128</v>
      </c>
      <c r="D51" t="s">
        <v>676</v>
      </c>
      <c r="E51" s="10">
        <f>(E11+E34)/2</f>
        <v>58444621</v>
      </c>
      <c r="F51" t="s">
        <v>594</v>
      </c>
      <c r="H51" s="11"/>
    </row>
    <row r="52" spans="1:8" ht="15.75" thickBot="1">
      <c r="C52" s="14"/>
      <c r="D52" s="15"/>
      <c r="E52" s="15"/>
      <c r="F52" s="15"/>
      <c r="G52" s="15"/>
      <c r="H52" s="17"/>
    </row>
    <row r="53" spans="1:8">
      <c r="A53" s="1"/>
    </row>
  </sheetData>
  <pageMargins left="0.7" right="0.7" top="0.5" bottom="0.5" header="0.3" footer="0.3"/>
  <pageSetup scale="5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7"/>
  <sheetViews>
    <sheetView workbookViewId="0"/>
  </sheetViews>
  <sheetFormatPr defaultColWidth="9.140625" defaultRowHeight="15"/>
  <cols>
    <col min="2" max="2" width="73.28515625" customWidth="1"/>
    <col min="3" max="3" width="34.140625" bestFit="1" customWidth="1"/>
    <col min="4" max="4" width="25.140625" customWidth="1"/>
    <col min="5" max="5" width="7.7109375" customWidth="1"/>
    <col min="6" max="6" width="24.7109375" bestFit="1" customWidth="1"/>
  </cols>
  <sheetData>
    <row r="1" spans="1:4">
      <c r="A1" s="1" t="s">
        <v>0</v>
      </c>
    </row>
    <row r="2" spans="1:4">
      <c r="A2" s="1" t="s">
        <v>1385</v>
      </c>
    </row>
    <row r="3" spans="1:4">
      <c r="A3" s="1"/>
    </row>
    <row r="4" spans="1:4">
      <c r="A4" s="1"/>
    </row>
    <row r="8" spans="1:4">
      <c r="C8" s="73"/>
    </row>
    <row r="9" spans="1:4">
      <c r="B9" s="1"/>
    </row>
    <row r="10" spans="1:4">
      <c r="C10" s="34"/>
      <c r="D10" s="34"/>
    </row>
    <row r="11" spans="1:4">
      <c r="C11" s="73"/>
    </row>
    <row r="12" spans="1:4">
      <c r="D12" s="26"/>
    </row>
    <row r="13" spans="1:4">
      <c r="C13" s="73"/>
      <c r="D13" s="26"/>
    </row>
    <row r="14" spans="1:4">
      <c r="D14" s="26"/>
    </row>
    <row r="15" spans="1:4">
      <c r="C15" s="73"/>
      <c r="D15" s="26"/>
    </row>
    <row r="16" spans="1:4">
      <c r="D16" s="26"/>
    </row>
    <row r="17" spans="2:4">
      <c r="D17" s="91"/>
    </row>
    <row r="18" spans="2:4">
      <c r="C18" s="187"/>
      <c r="D18" s="26"/>
    </row>
    <row r="20" spans="2:4">
      <c r="C20" s="73"/>
    </row>
    <row r="21" spans="2:4">
      <c r="D21" s="26"/>
    </row>
    <row r="22" spans="2:4">
      <c r="C22" s="73"/>
      <c r="D22" s="187"/>
    </row>
    <row r="23" spans="2:4">
      <c r="B23" s="1"/>
      <c r="D23" s="26"/>
    </row>
    <row r="24" spans="2:4">
      <c r="B24" s="1"/>
      <c r="D24" s="26"/>
    </row>
    <row r="25" spans="2:4">
      <c r="D25" s="26"/>
    </row>
    <row r="26" spans="2:4">
      <c r="D26" s="91"/>
    </row>
    <row r="27" spans="2:4">
      <c r="B27" s="1"/>
      <c r="D27" s="26"/>
    </row>
  </sheetData>
  <pageMargins left="0.7" right="0.7" top="0.75" bottom="0.75" header="0.3" footer="0.3"/>
  <pageSetup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69"/>
  <sheetViews>
    <sheetView workbookViewId="0">
      <selection activeCell="K11" sqref="K11"/>
    </sheetView>
  </sheetViews>
  <sheetFormatPr defaultRowHeight="15"/>
  <cols>
    <col min="2" max="2" width="3.28515625" customWidth="1"/>
    <col min="3" max="3" width="52.7109375" bestFit="1" customWidth="1"/>
    <col min="4" max="4" width="34.5703125" bestFit="1" customWidth="1"/>
    <col min="5" max="5" width="26.7109375" bestFit="1" customWidth="1"/>
    <col min="6" max="6" width="22.140625" bestFit="1" customWidth="1"/>
    <col min="9" max="9" width="10" bestFit="1" customWidth="1"/>
  </cols>
  <sheetData>
    <row r="1" spans="1:7">
      <c r="A1" s="1" t="s">
        <v>0</v>
      </c>
    </row>
    <row r="2" spans="1:7">
      <c r="A2" s="1" t="s">
        <v>179</v>
      </c>
    </row>
    <row r="3" spans="1:7">
      <c r="A3" s="1"/>
    </row>
    <row r="4" spans="1:7">
      <c r="A4" s="1"/>
      <c r="B4" s="93" t="s">
        <v>672</v>
      </c>
      <c r="C4" t="s">
        <v>1386</v>
      </c>
    </row>
    <row r="5" spans="1:7">
      <c r="A5" s="1"/>
      <c r="B5" s="93"/>
    </row>
    <row r="6" spans="1:7" ht="16.5" customHeight="1" thickBot="1">
      <c r="A6" s="1"/>
    </row>
    <row r="7" spans="1:7">
      <c r="A7" s="1"/>
      <c r="B7" s="5" t="s">
        <v>167</v>
      </c>
      <c r="C7" s="6"/>
      <c r="D7" s="6"/>
      <c r="E7" s="6"/>
      <c r="F7" s="6"/>
      <c r="G7" s="8"/>
    </row>
    <row r="8" spans="1:7">
      <c r="B8" s="9"/>
      <c r="C8" s="4" t="s">
        <v>105</v>
      </c>
      <c r="D8" s="4" t="s">
        <v>11</v>
      </c>
      <c r="E8" s="4" t="s">
        <v>103</v>
      </c>
      <c r="G8" s="11"/>
    </row>
    <row r="9" spans="1:7">
      <c r="B9" s="9"/>
      <c r="C9" s="1" t="s">
        <v>173</v>
      </c>
      <c r="G9" s="11"/>
    </row>
    <row r="10" spans="1:7">
      <c r="B10" s="9"/>
      <c r="C10" t="s">
        <v>763</v>
      </c>
      <c r="D10" t="s">
        <v>182</v>
      </c>
      <c r="E10" s="126">
        <f>+'FERC Form 1 Inputs'!I30</f>
        <v>17991600</v>
      </c>
      <c r="G10" s="11"/>
    </row>
    <row r="11" spans="1:7">
      <c r="B11" s="9"/>
      <c r="C11" s="1" t="s">
        <v>174</v>
      </c>
      <c r="E11" s="10">
        <f>SUM(E10:E10)</f>
        <v>17991600</v>
      </c>
      <c r="F11" t="s">
        <v>674</v>
      </c>
      <c r="G11" s="11"/>
    </row>
    <row r="12" spans="1:7">
      <c r="B12" s="9"/>
      <c r="E12" s="10"/>
      <c r="G12" s="11"/>
    </row>
    <row r="13" spans="1:7">
      <c r="B13" s="9"/>
      <c r="C13" s="1" t="s">
        <v>175</v>
      </c>
      <c r="E13" s="10"/>
      <c r="G13" s="11"/>
    </row>
    <row r="14" spans="1:7">
      <c r="B14" s="9"/>
      <c r="C14" t="s">
        <v>181</v>
      </c>
      <c r="D14" t="s">
        <v>183</v>
      </c>
      <c r="E14" s="73">
        <f>+'FERC Form 1 Inputs'!I29</f>
        <v>28170623</v>
      </c>
      <c r="G14" s="11"/>
    </row>
    <row r="15" spans="1:7">
      <c r="B15" s="9"/>
      <c r="C15" t="s">
        <v>157</v>
      </c>
      <c r="D15" t="s">
        <v>184</v>
      </c>
      <c r="E15" s="126">
        <f>+'FERC Form 1 Inputs'!I28</f>
        <v>33248804</v>
      </c>
      <c r="G15" s="11"/>
    </row>
    <row r="16" spans="1:7">
      <c r="B16" s="9"/>
      <c r="C16" s="1" t="s">
        <v>176</v>
      </c>
      <c r="E16" s="10">
        <f>SUM(E14:E15)</f>
        <v>61419427</v>
      </c>
      <c r="G16" s="11"/>
    </row>
    <row r="17" spans="2:7">
      <c r="B17" s="9"/>
      <c r="E17" s="10"/>
      <c r="G17" s="11"/>
    </row>
    <row r="18" spans="2:7" ht="15.75" thickBot="1">
      <c r="B18" s="9"/>
      <c r="C18" s="1" t="s">
        <v>177</v>
      </c>
      <c r="D18" t="s">
        <v>185</v>
      </c>
      <c r="E18" s="18">
        <f>+E11+E16</f>
        <v>79411027</v>
      </c>
      <c r="G18" s="11"/>
    </row>
    <row r="19" spans="2:7" ht="15.75" thickTop="1">
      <c r="B19" s="9"/>
      <c r="G19" s="11"/>
    </row>
    <row r="20" spans="2:7">
      <c r="B20" s="9"/>
      <c r="G20" s="11"/>
    </row>
    <row r="21" spans="2:7">
      <c r="B21" s="20"/>
      <c r="G21" s="11"/>
    </row>
    <row r="22" spans="2:7">
      <c r="B22" s="9"/>
      <c r="C22" s="4" t="s">
        <v>105</v>
      </c>
      <c r="D22" s="4" t="s">
        <v>11</v>
      </c>
      <c r="E22" s="4" t="s">
        <v>104</v>
      </c>
      <c r="G22" s="11"/>
    </row>
    <row r="23" spans="2:7">
      <c r="B23" s="9"/>
      <c r="C23" s="1" t="s">
        <v>173</v>
      </c>
      <c r="G23" s="11"/>
    </row>
    <row r="24" spans="2:7">
      <c r="B24" s="9"/>
      <c r="C24" t="s">
        <v>180</v>
      </c>
      <c r="D24" t="s">
        <v>187</v>
      </c>
      <c r="E24" s="126">
        <f>+'FERC Form 1 Inputs'!L30</f>
        <v>26020403</v>
      </c>
      <c r="G24" s="11"/>
    </row>
    <row r="25" spans="2:7">
      <c r="B25" s="9"/>
      <c r="C25" s="1" t="s">
        <v>174</v>
      </c>
      <c r="E25" s="10">
        <f>SUM(E24:E24)</f>
        <v>26020403</v>
      </c>
      <c r="F25" t="s">
        <v>675</v>
      </c>
      <c r="G25" s="11"/>
    </row>
    <row r="26" spans="2:7">
      <c r="B26" s="9"/>
      <c r="E26" s="10"/>
      <c r="G26" s="11"/>
    </row>
    <row r="27" spans="2:7">
      <c r="B27" s="9"/>
      <c r="C27" s="1" t="s">
        <v>175</v>
      </c>
      <c r="E27" s="10"/>
      <c r="G27" s="11"/>
    </row>
    <row r="28" spans="2:7">
      <c r="B28" s="9"/>
      <c r="C28" t="s">
        <v>181</v>
      </c>
      <c r="D28" t="s">
        <v>188</v>
      </c>
      <c r="E28" s="73">
        <f>+'FERC Form 1 Inputs'!L29</f>
        <v>28974111</v>
      </c>
      <c r="G28" s="11"/>
    </row>
    <row r="29" spans="2:7">
      <c r="B29" s="9"/>
      <c r="C29" t="s">
        <v>157</v>
      </c>
      <c r="D29" t="s">
        <v>189</v>
      </c>
      <c r="E29" s="126">
        <f>+'FERC Form 1 Inputs'!L28</f>
        <v>85275802</v>
      </c>
      <c r="G29" s="11"/>
    </row>
    <row r="30" spans="2:7">
      <c r="B30" s="9"/>
      <c r="C30" s="1" t="s">
        <v>176</v>
      </c>
      <c r="E30" s="10">
        <f>SUM(E28:E29)</f>
        <v>114249913</v>
      </c>
      <c r="G30" s="11"/>
    </row>
    <row r="31" spans="2:7">
      <c r="B31" s="9"/>
      <c r="E31" s="10"/>
      <c r="G31" s="11"/>
    </row>
    <row r="32" spans="2:7" ht="15.75" thickBot="1">
      <c r="B32" s="9"/>
      <c r="C32" s="1" t="s">
        <v>177</v>
      </c>
      <c r="D32" t="s">
        <v>186</v>
      </c>
      <c r="E32" s="18">
        <f>+E25+E30</f>
        <v>140270316</v>
      </c>
      <c r="F32" s="313"/>
      <c r="G32" s="11"/>
    </row>
    <row r="33" spans="1:7" ht="15.75" thickTop="1">
      <c r="B33" s="9"/>
      <c r="E33" s="10"/>
      <c r="F33" s="47"/>
      <c r="G33" s="11"/>
    </row>
    <row r="34" spans="1:7">
      <c r="B34" s="9"/>
      <c r="C34" t="s">
        <v>178</v>
      </c>
      <c r="D34" t="s">
        <v>688</v>
      </c>
      <c r="E34" s="10">
        <f>(E11+E25)/2</f>
        <v>22006001.5</v>
      </c>
      <c r="F34" t="s">
        <v>596</v>
      </c>
      <c r="G34" s="11"/>
    </row>
    <row r="35" spans="1:7" ht="15.75" thickBot="1">
      <c r="B35" s="14"/>
      <c r="C35" s="15"/>
      <c r="D35" s="15"/>
      <c r="E35" s="15"/>
      <c r="F35" s="15"/>
      <c r="G35" s="17"/>
    </row>
    <row r="36" spans="1:7" ht="15.75" thickBot="1"/>
    <row r="37" spans="1:7">
      <c r="A37" s="1"/>
      <c r="B37" s="5" t="s">
        <v>169</v>
      </c>
      <c r="C37" s="6"/>
      <c r="D37" s="6"/>
      <c r="E37" s="6"/>
      <c r="F37" s="6"/>
      <c r="G37" s="8"/>
    </row>
    <row r="38" spans="1:7">
      <c r="B38" s="9"/>
      <c r="C38" s="4" t="s">
        <v>105</v>
      </c>
      <c r="D38" s="4" t="s">
        <v>11</v>
      </c>
      <c r="E38" s="4" t="s">
        <v>103</v>
      </c>
      <c r="G38" s="11"/>
    </row>
    <row r="39" spans="1:7">
      <c r="B39" s="9"/>
      <c r="C39" s="1" t="s">
        <v>190</v>
      </c>
      <c r="G39" s="11"/>
    </row>
    <row r="40" spans="1:7">
      <c r="B40" s="9"/>
      <c r="C40" t="s">
        <v>196</v>
      </c>
      <c r="D40" t="s">
        <v>27</v>
      </c>
      <c r="E40" s="84">
        <v>4160363</v>
      </c>
      <c r="G40" s="11"/>
    </row>
    <row r="41" spans="1:7">
      <c r="B41" s="9"/>
      <c r="C41" s="1" t="s">
        <v>191</v>
      </c>
      <c r="E41" s="10">
        <f>SUM(E40:E40)</f>
        <v>4160363</v>
      </c>
      <c r="F41" t="s">
        <v>689</v>
      </c>
      <c r="G41" s="11"/>
    </row>
    <row r="42" spans="1:7">
      <c r="B42" s="9"/>
      <c r="E42" s="10"/>
      <c r="G42" s="11"/>
    </row>
    <row r="43" spans="1:7">
      <c r="B43" s="9"/>
      <c r="C43" s="1" t="s">
        <v>192</v>
      </c>
      <c r="E43" s="10"/>
      <c r="G43" s="11"/>
    </row>
    <row r="44" spans="1:7">
      <c r="B44" s="9"/>
      <c r="C44" t="s">
        <v>181</v>
      </c>
      <c r="D44" t="s">
        <v>27</v>
      </c>
      <c r="E44" s="84">
        <v>5038898.299999997</v>
      </c>
      <c r="G44" s="11"/>
    </row>
    <row r="45" spans="1:7">
      <c r="B45" s="9"/>
      <c r="C45" t="s">
        <v>157</v>
      </c>
      <c r="D45" t="s">
        <v>27</v>
      </c>
      <c r="E45" s="84">
        <v>741486.12999999337</v>
      </c>
      <c r="G45" s="11"/>
    </row>
    <row r="46" spans="1:7">
      <c r="B46" s="9"/>
      <c r="C46" s="1" t="s">
        <v>193</v>
      </c>
      <c r="E46" s="10">
        <f>SUM(E44:E45)</f>
        <v>5780384.4299999904</v>
      </c>
      <c r="G46" s="11"/>
    </row>
    <row r="47" spans="1:7">
      <c r="B47" s="9"/>
      <c r="E47" s="10"/>
      <c r="G47" s="11"/>
    </row>
    <row r="48" spans="1:7" ht="15.75" thickBot="1">
      <c r="B48" s="9"/>
      <c r="C48" s="1" t="s">
        <v>194</v>
      </c>
      <c r="D48" t="s">
        <v>197</v>
      </c>
      <c r="E48" s="18">
        <f>+E41+E46</f>
        <v>9940747.4299999904</v>
      </c>
      <c r="F48" s="73"/>
      <c r="G48" s="11"/>
    </row>
    <row r="49" spans="2:7" ht="15.75" thickTop="1">
      <c r="B49" s="9"/>
      <c r="G49" s="11"/>
    </row>
    <row r="50" spans="2:7">
      <c r="B50" s="9"/>
      <c r="G50" s="11"/>
    </row>
    <row r="51" spans="2:7">
      <c r="B51" s="20"/>
      <c r="G51" s="11"/>
    </row>
    <row r="52" spans="2:7">
      <c r="B52" s="9"/>
      <c r="C52" s="4" t="s">
        <v>105</v>
      </c>
      <c r="D52" s="4" t="s">
        <v>11</v>
      </c>
      <c r="E52" s="4" t="s">
        <v>104</v>
      </c>
      <c r="G52" s="11"/>
    </row>
    <row r="53" spans="2:7">
      <c r="B53" s="9"/>
      <c r="C53" s="1" t="s">
        <v>190</v>
      </c>
      <c r="G53" s="11"/>
    </row>
    <row r="54" spans="2:7">
      <c r="B54" s="9"/>
      <c r="C54" t="s">
        <v>196</v>
      </c>
      <c r="D54" t="s">
        <v>27</v>
      </c>
      <c r="E54" s="84">
        <v>4305434.43</v>
      </c>
      <c r="G54" s="11"/>
    </row>
    <row r="55" spans="2:7">
      <c r="B55" s="9"/>
      <c r="C55" s="1" t="s">
        <v>191</v>
      </c>
      <c r="E55" s="10">
        <f>SUM(E54:E54)</f>
        <v>4305434.43</v>
      </c>
      <c r="F55" t="s">
        <v>690</v>
      </c>
      <c r="G55" s="11"/>
    </row>
    <row r="56" spans="2:7">
      <c r="B56" s="9"/>
      <c r="E56" s="10"/>
      <c r="G56" s="11"/>
    </row>
    <row r="57" spans="2:7">
      <c r="B57" s="9"/>
      <c r="C57" s="1" t="s">
        <v>192</v>
      </c>
      <c r="E57" s="10"/>
      <c r="G57" s="11"/>
    </row>
    <row r="58" spans="2:7">
      <c r="B58" s="9"/>
      <c r="C58" t="s">
        <v>181</v>
      </c>
      <c r="D58" t="s">
        <v>27</v>
      </c>
      <c r="E58" s="84">
        <v>6047664.1199999871</v>
      </c>
      <c r="G58" s="11"/>
    </row>
    <row r="59" spans="2:7">
      <c r="B59" s="9"/>
      <c r="C59" t="s">
        <v>157</v>
      </c>
      <c r="D59" t="s">
        <v>27</v>
      </c>
      <c r="E59" s="84">
        <v>4393123.9099999983</v>
      </c>
      <c r="G59" s="11"/>
    </row>
    <row r="60" spans="2:7">
      <c r="B60" s="9"/>
      <c r="C60" s="1" t="s">
        <v>193</v>
      </c>
      <c r="E60" s="10">
        <f>SUM(E58:E59)</f>
        <v>10440788.029999986</v>
      </c>
      <c r="G60" s="11"/>
    </row>
    <row r="61" spans="2:7">
      <c r="B61" s="9"/>
      <c r="E61" s="10"/>
      <c r="G61" s="11"/>
    </row>
    <row r="62" spans="2:7" ht="15.75" thickBot="1">
      <c r="B62" s="9"/>
      <c r="C62" s="1" t="s">
        <v>194</v>
      </c>
      <c r="D62" t="s">
        <v>198</v>
      </c>
      <c r="E62" s="111">
        <f>+E55+E60</f>
        <v>14746222.459999986</v>
      </c>
      <c r="F62" s="73"/>
      <c r="G62" s="11"/>
    </row>
    <row r="63" spans="2:7" ht="15.75" thickTop="1">
      <c r="B63" s="9"/>
      <c r="G63" s="11"/>
    </row>
    <row r="64" spans="2:7">
      <c r="B64" s="9"/>
      <c r="C64" t="s">
        <v>195</v>
      </c>
      <c r="D64" t="s">
        <v>691</v>
      </c>
      <c r="E64" s="10">
        <f>(E41+E55)/2</f>
        <v>4232898.7149999999</v>
      </c>
      <c r="F64" t="s">
        <v>597</v>
      </c>
      <c r="G64" s="11"/>
    </row>
    <row r="65" spans="2:7" ht="15.75" thickBot="1">
      <c r="B65" s="14"/>
      <c r="C65" s="15"/>
      <c r="D65" s="15"/>
      <c r="E65" s="15"/>
      <c r="F65" s="15"/>
      <c r="G65" s="17"/>
    </row>
    <row r="67" spans="2:7">
      <c r="E67" s="47"/>
    </row>
    <row r="68" spans="2:7">
      <c r="E68" s="47"/>
    </row>
    <row r="69" spans="2:7">
      <c r="E69" s="46"/>
    </row>
  </sheetData>
  <pageMargins left="0.7" right="0.7" top="0.75" bottom="0.75" header="0.3" footer="0.3"/>
  <pageSetup scale="77" fitToHeight="0" orientation="landscape" r:id="rId1"/>
  <rowBreaks count="1" manualBreakCount="1">
    <brk id="3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21"/>
  <sheetViews>
    <sheetView workbookViewId="0">
      <selection activeCell="I17" sqref="I17"/>
    </sheetView>
  </sheetViews>
  <sheetFormatPr defaultRowHeight="15"/>
  <cols>
    <col min="2" max="2" width="3.28515625" customWidth="1"/>
    <col min="3" max="3" width="56.42578125" customWidth="1"/>
    <col min="4" max="4" width="34.5703125" customWidth="1"/>
    <col min="5" max="5" width="36" bestFit="1" customWidth="1"/>
    <col min="6" max="6" width="17.28515625" bestFit="1" customWidth="1"/>
    <col min="7" max="7" width="13.42578125" customWidth="1"/>
    <col min="8" max="8" width="13.85546875" customWidth="1"/>
  </cols>
  <sheetData>
    <row r="1" spans="1:7">
      <c r="A1" s="1" t="s">
        <v>0</v>
      </c>
    </row>
    <row r="2" spans="1:7">
      <c r="A2" s="1" t="s">
        <v>172</v>
      </c>
    </row>
    <row r="3" spans="1:7">
      <c r="A3" s="1"/>
    </row>
    <row r="4" spans="1:7">
      <c r="A4" s="1"/>
    </row>
    <row r="5" spans="1:7">
      <c r="A5" s="1"/>
      <c r="B5" s="93" t="s">
        <v>672</v>
      </c>
      <c r="C5" t="s">
        <v>876</v>
      </c>
    </row>
    <row r="6" spans="1:7" ht="15.75" thickBot="1">
      <c r="A6" s="1"/>
    </row>
    <row r="7" spans="1:7">
      <c r="C7" s="30" t="s">
        <v>105</v>
      </c>
      <c r="D7" s="31" t="s">
        <v>11</v>
      </c>
      <c r="E7" s="31" t="s">
        <v>103</v>
      </c>
      <c r="F7" s="6"/>
      <c r="G7" s="8"/>
    </row>
    <row r="8" spans="1:7">
      <c r="C8" s="20" t="s">
        <v>149</v>
      </c>
      <c r="G8" s="11"/>
    </row>
    <row r="9" spans="1:7">
      <c r="C9" s="9" t="s">
        <v>147</v>
      </c>
      <c r="D9" t="s">
        <v>1399</v>
      </c>
      <c r="E9" s="84">
        <v>0</v>
      </c>
      <c r="G9" s="11"/>
    </row>
    <row r="10" spans="1:7">
      <c r="C10" s="9" t="s">
        <v>724</v>
      </c>
      <c r="D10" t="s">
        <v>27</v>
      </c>
      <c r="E10" s="84">
        <v>0</v>
      </c>
      <c r="G10" s="11"/>
    </row>
    <row r="11" spans="1:7">
      <c r="C11" s="9" t="s">
        <v>1606</v>
      </c>
      <c r="D11" t="s">
        <v>1746</v>
      </c>
      <c r="E11" s="84">
        <v>1047999</v>
      </c>
      <c r="G11" s="11"/>
    </row>
    <row r="12" spans="1:7">
      <c r="C12" s="20" t="s">
        <v>143</v>
      </c>
      <c r="E12" s="10">
        <f>SUM(E9:E11)</f>
        <v>1047999</v>
      </c>
      <c r="F12" t="s">
        <v>674</v>
      </c>
      <c r="G12" s="11"/>
    </row>
    <row r="13" spans="1:7">
      <c r="C13" s="9"/>
      <c r="E13" s="10"/>
      <c r="G13" s="11"/>
    </row>
    <row r="14" spans="1:7">
      <c r="C14" s="20" t="s">
        <v>144</v>
      </c>
      <c r="E14" s="10"/>
      <c r="G14" s="11"/>
    </row>
    <row r="15" spans="1:7">
      <c r="C15" s="9" t="s">
        <v>150</v>
      </c>
      <c r="D15" t="s">
        <v>156</v>
      </c>
      <c r="E15" s="84">
        <v>436565</v>
      </c>
      <c r="G15" s="11"/>
    </row>
    <row r="16" spans="1:7">
      <c r="C16" s="9" t="s">
        <v>151</v>
      </c>
      <c r="D16" t="s">
        <v>158</v>
      </c>
      <c r="E16" s="84">
        <v>198440</v>
      </c>
      <c r="G16" s="11"/>
    </row>
    <row r="17" spans="2:7">
      <c r="C17" s="9" t="s">
        <v>152</v>
      </c>
      <c r="D17" t="s">
        <v>1453</v>
      </c>
      <c r="E17" s="84">
        <v>8753748</v>
      </c>
      <c r="G17" s="11"/>
    </row>
    <row r="18" spans="2:7">
      <c r="C18" s="9" t="s">
        <v>153</v>
      </c>
      <c r="D18" t="s">
        <v>148</v>
      </c>
      <c r="E18" s="84">
        <v>76160031</v>
      </c>
      <c r="G18" s="11"/>
    </row>
    <row r="19" spans="2:7">
      <c r="C19" s="9" t="s">
        <v>154</v>
      </c>
      <c r="D19" t="s">
        <v>159</v>
      </c>
      <c r="E19" s="84">
        <v>10950160</v>
      </c>
      <c r="G19" s="11"/>
    </row>
    <row r="20" spans="2:7">
      <c r="C20" s="9" t="s">
        <v>155</v>
      </c>
      <c r="D20" t="s">
        <v>1602</v>
      </c>
      <c r="E20" s="84">
        <v>12844310</v>
      </c>
      <c r="G20" s="11"/>
    </row>
    <row r="21" spans="2:7">
      <c r="C21" s="9" t="s">
        <v>1405</v>
      </c>
      <c r="E21" s="84">
        <v>0</v>
      </c>
      <c r="G21" s="11"/>
    </row>
    <row r="22" spans="2:7">
      <c r="C22" s="9" t="s">
        <v>1458</v>
      </c>
      <c r="E22" s="84">
        <v>0</v>
      </c>
      <c r="G22" s="11"/>
    </row>
    <row r="23" spans="2:7">
      <c r="C23" s="9" t="s">
        <v>1459</v>
      </c>
      <c r="D23" t="s">
        <v>1603</v>
      </c>
      <c r="E23" s="84">
        <v>11576081</v>
      </c>
      <c r="G23" s="11"/>
    </row>
    <row r="24" spans="2:7">
      <c r="C24" s="9" t="s">
        <v>1460</v>
      </c>
      <c r="D24" t="s">
        <v>1454</v>
      </c>
      <c r="E24" s="84">
        <v>8692778</v>
      </c>
      <c r="G24" s="11"/>
    </row>
    <row r="25" spans="2:7" ht="15.75" thickBot="1">
      <c r="C25" s="9" t="s">
        <v>157</v>
      </c>
      <c r="D25" t="s">
        <v>1604</v>
      </c>
      <c r="E25" s="351">
        <v>246607</v>
      </c>
      <c r="G25" s="11"/>
    </row>
    <row r="26" spans="2:7">
      <c r="C26" s="20" t="s">
        <v>145</v>
      </c>
      <c r="E26" s="10">
        <f>SUM(E15:E25)</f>
        <v>129858720</v>
      </c>
      <c r="G26" s="11"/>
    </row>
    <row r="27" spans="2:7">
      <c r="C27" s="9"/>
      <c r="E27" s="10"/>
      <c r="G27" s="11"/>
    </row>
    <row r="28" spans="2:7" ht="15.75" thickBot="1">
      <c r="C28" s="20" t="s">
        <v>146</v>
      </c>
      <c r="D28" t="s">
        <v>160</v>
      </c>
      <c r="E28" s="18">
        <f>+E12+E26</f>
        <v>130906719</v>
      </c>
      <c r="G28" s="11"/>
    </row>
    <row r="29" spans="2:7" ht="15.75" thickTop="1">
      <c r="C29" s="9"/>
      <c r="G29" s="11"/>
    </row>
    <row r="30" spans="2:7">
      <c r="C30" s="9"/>
      <c r="G30" s="11"/>
    </row>
    <row r="31" spans="2:7">
      <c r="B31" s="1"/>
      <c r="C31" s="9"/>
      <c r="G31" s="11"/>
    </row>
    <row r="32" spans="2:7">
      <c r="C32" s="32" t="s">
        <v>105</v>
      </c>
      <c r="D32" s="4" t="s">
        <v>11</v>
      </c>
      <c r="E32" s="4" t="s">
        <v>104</v>
      </c>
      <c r="G32" s="11"/>
    </row>
    <row r="33" spans="3:7">
      <c r="C33" s="20" t="s">
        <v>149</v>
      </c>
      <c r="G33" s="11"/>
    </row>
    <row r="34" spans="3:7">
      <c r="C34" s="9" t="s">
        <v>147</v>
      </c>
      <c r="D34" t="s">
        <v>1399</v>
      </c>
      <c r="E34" s="84">
        <v>0</v>
      </c>
      <c r="G34" s="11"/>
    </row>
    <row r="35" spans="3:7">
      <c r="C35" s="9" t="s">
        <v>724</v>
      </c>
      <c r="D35" t="s">
        <v>27</v>
      </c>
      <c r="E35" s="84">
        <v>0</v>
      </c>
      <c r="G35" s="11"/>
    </row>
    <row r="36" spans="3:7">
      <c r="C36" s="9" t="s">
        <v>1606</v>
      </c>
      <c r="D36" t="s">
        <v>1457</v>
      </c>
      <c r="E36" s="84">
        <v>880319</v>
      </c>
      <c r="G36" s="11"/>
    </row>
    <row r="37" spans="3:7">
      <c r="C37" s="20" t="s">
        <v>143</v>
      </c>
      <c r="E37" s="10">
        <f>SUM(E34:E36)</f>
        <v>880319</v>
      </c>
      <c r="F37" t="s">
        <v>675</v>
      </c>
      <c r="G37" s="11"/>
    </row>
    <row r="38" spans="3:7">
      <c r="C38" s="9"/>
      <c r="E38" s="10"/>
      <c r="G38" s="11"/>
    </row>
    <row r="39" spans="3:7">
      <c r="C39" s="20" t="s">
        <v>144</v>
      </c>
      <c r="E39" s="10"/>
      <c r="G39" s="11"/>
    </row>
    <row r="40" spans="3:7">
      <c r="C40" s="9" t="s">
        <v>150</v>
      </c>
      <c r="D40" t="s">
        <v>164</v>
      </c>
      <c r="E40" s="84">
        <v>420000</v>
      </c>
      <c r="G40" s="11"/>
    </row>
    <row r="41" spans="3:7">
      <c r="C41" s="9" t="s">
        <v>151</v>
      </c>
      <c r="D41" t="s">
        <v>165</v>
      </c>
      <c r="E41" s="84">
        <v>617559</v>
      </c>
      <c r="G41" s="11"/>
    </row>
    <row r="42" spans="3:7">
      <c r="C42" s="9" t="s">
        <v>152</v>
      </c>
      <c r="D42" t="s">
        <v>1455</v>
      </c>
      <c r="E42" s="84">
        <v>8298071</v>
      </c>
      <c r="G42" s="11"/>
    </row>
    <row r="43" spans="3:7">
      <c r="C43" s="9" t="s">
        <v>153</v>
      </c>
      <c r="D43" t="s">
        <v>163</v>
      </c>
      <c r="E43" s="84">
        <v>91212641</v>
      </c>
      <c r="G43" s="11"/>
    </row>
    <row r="44" spans="3:7">
      <c r="C44" s="9" t="s">
        <v>154</v>
      </c>
      <c r="D44" t="s">
        <v>166</v>
      </c>
      <c r="E44" s="84">
        <v>13370179</v>
      </c>
      <c r="G44" s="11"/>
    </row>
    <row r="45" spans="3:7">
      <c r="C45" s="9" t="s">
        <v>155</v>
      </c>
      <c r="D45" t="s">
        <v>1600</v>
      </c>
      <c r="E45" s="84">
        <v>7927203</v>
      </c>
      <c r="G45" s="11"/>
    </row>
    <row r="46" spans="3:7">
      <c r="C46" s="9" t="s">
        <v>1405</v>
      </c>
      <c r="E46" s="84">
        <v>0</v>
      </c>
      <c r="G46" s="11"/>
    </row>
    <row r="47" spans="3:7">
      <c r="C47" s="9" t="s">
        <v>1458</v>
      </c>
      <c r="E47" s="84">
        <v>0</v>
      </c>
      <c r="G47" s="11"/>
    </row>
    <row r="48" spans="3:7">
      <c r="C48" s="9" t="s">
        <v>1459</v>
      </c>
      <c r="D48" t="s">
        <v>1601</v>
      </c>
      <c r="E48" s="84">
        <v>11920088</v>
      </c>
      <c r="G48" s="11"/>
    </row>
    <row r="49" spans="3:9">
      <c r="C49" s="9" t="s">
        <v>1460</v>
      </c>
      <c r="D49" t="s">
        <v>1456</v>
      </c>
      <c r="E49" s="84">
        <v>8570496</v>
      </c>
      <c r="G49" s="11"/>
    </row>
    <row r="50" spans="3:9" ht="15.75" thickBot="1">
      <c r="C50" s="9" t="s">
        <v>157</v>
      </c>
      <c r="D50" t="s">
        <v>1794</v>
      </c>
      <c r="E50" s="351">
        <v>747295</v>
      </c>
      <c r="G50" s="11"/>
    </row>
    <row r="51" spans="3:9">
      <c r="C51" s="20" t="s">
        <v>145</v>
      </c>
      <c r="E51" s="10">
        <f>SUM(E40:E50)</f>
        <v>143083532</v>
      </c>
      <c r="F51" s="270"/>
      <c r="G51" s="302"/>
    </row>
    <row r="52" spans="3:9">
      <c r="C52" s="9"/>
      <c r="E52" s="10"/>
      <c r="G52" s="11"/>
    </row>
    <row r="53" spans="3:9" ht="15.75" thickBot="1">
      <c r="C53" s="20" t="s">
        <v>146</v>
      </c>
      <c r="D53" t="s">
        <v>162</v>
      </c>
      <c r="E53" s="18">
        <f>+E37+E51</f>
        <v>143963851</v>
      </c>
      <c r="F53" s="47"/>
      <c r="G53" s="11"/>
    </row>
    <row r="54" spans="3:9" ht="15.75" thickTop="1">
      <c r="C54" s="20"/>
      <c r="E54" s="10"/>
      <c r="G54" s="11"/>
    </row>
    <row r="55" spans="3:9">
      <c r="C55" s="9" t="s">
        <v>693</v>
      </c>
      <c r="D55" t="s">
        <v>692</v>
      </c>
      <c r="E55" s="10">
        <f>-(E12+E37)/2</f>
        <v>-964159</v>
      </c>
      <c r="F55" t="s">
        <v>689</v>
      </c>
      <c r="G55" s="11"/>
    </row>
    <row r="56" spans="3:9" ht="15.75" thickBot="1">
      <c r="C56" s="14"/>
      <c r="D56" s="15"/>
      <c r="E56" s="15"/>
      <c r="F56" s="15"/>
      <c r="G56" s="17"/>
    </row>
    <row r="57" spans="3:9" ht="15.75" thickBot="1"/>
    <row r="58" spans="3:9">
      <c r="C58" s="30" t="s">
        <v>105</v>
      </c>
      <c r="D58" s="31" t="s">
        <v>11</v>
      </c>
      <c r="E58" s="31" t="s">
        <v>103</v>
      </c>
      <c r="F58" s="6"/>
      <c r="G58" s="8"/>
    </row>
    <row r="59" spans="3:9">
      <c r="C59" s="20" t="s">
        <v>948</v>
      </c>
      <c r="D59" s="4"/>
      <c r="E59" s="4"/>
      <c r="G59" s="11"/>
    </row>
    <row r="60" spans="3:9">
      <c r="C60" s="9" t="s">
        <v>949</v>
      </c>
      <c r="D60" t="s">
        <v>332</v>
      </c>
      <c r="E60" s="84">
        <v>728238</v>
      </c>
      <c r="G60" s="11"/>
    </row>
    <row r="61" spans="3:9">
      <c r="C61" s="9" t="s">
        <v>950</v>
      </c>
      <c r="D61" t="s">
        <v>332</v>
      </c>
      <c r="E61" s="84">
        <v>28619.369999999966</v>
      </c>
      <c r="G61" s="11"/>
    </row>
    <row r="62" spans="3:9">
      <c r="C62" s="9" t="s">
        <v>951</v>
      </c>
      <c r="D62" t="s">
        <v>332</v>
      </c>
      <c r="E62" s="84">
        <v>552494.23</v>
      </c>
      <c r="G62" s="11"/>
    </row>
    <row r="63" spans="3:9">
      <c r="C63" s="9" t="s">
        <v>952</v>
      </c>
      <c r="D63" t="s">
        <v>332</v>
      </c>
      <c r="E63" s="84">
        <v>4167720.4800000014</v>
      </c>
      <c r="G63" s="11"/>
      <c r="I63" s="12"/>
    </row>
    <row r="64" spans="3:9">
      <c r="C64" s="9" t="s">
        <v>953</v>
      </c>
      <c r="D64" t="s">
        <v>332</v>
      </c>
      <c r="E64" s="84">
        <v>602766.09</v>
      </c>
      <c r="G64" s="11"/>
    </row>
    <row r="65" spans="3:7">
      <c r="C65" s="9" t="s">
        <v>954</v>
      </c>
      <c r="D65" t="s">
        <v>332</v>
      </c>
      <c r="E65" s="84">
        <v>580703.59000000008</v>
      </c>
      <c r="G65" s="11"/>
    </row>
    <row r="66" spans="3:7">
      <c r="C66" s="9" t="s">
        <v>955</v>
      </c>
      <c r="D66" t="s">
        <v>332</v>
      </c>
      <c r="E66" s="84">
        <v>14148.59</v>
      </c>
      <c r="G66" s="11"/>
    </row>
    <row r="67" spans="3:7">
      <c r="C67" s="9" t="s">
        <v>1406</v>
      </c>
      <c r="D67" t="s">
        <v>332</v>
      </c>
      <c r="E67" s="84">
        <v>0</v>
      </c>
      <c r="G67" s="11"/>
    </row>
    <row r="68" spans="3:7">
      <c r="C68" s="9" t="s">
        <v>1747</v>
      </c>
      <c r="D68" t="s">
        <v>332</v>
      </c>
      <c r="E68" s="84">
        <v>100469159.31</v>
      </c>
      <c r="G68" s="11"/>
    </row>
    <row r="69" spans="3:7" ht="15.75" thickBot="1">
      <c r="C69" s="9" t="s">
        <v>956</v>
      </c>
      <c r="D69" t="s">
        <v>332</v>
      </c>
      <c r="E69" s="351">
        <v>1210461.8400000001</v>
      </c>
      <c r="G69" s="11"/>
    </row>
    <row r="70" spans="3:7">
      <c r="C70" s="20" t="s">
        <v>957</v>
      </c>
      <c r="E70" s="47">
        <f>SUM(E60:E69)</f>
        <v>108354311.5</v>
      </c>
      <c r="G70" s="11"/>
    </row>
    <row r="71" spans="3:7">
      <c r="C71" s="9"/>
      <c r="G71" s="11"/>
    </row>
    <row r="72" spans="3:7">
      <c r="C72" s="20" t="s">
        <v>59</v>
      </c>
      <c r="E72" s="130">
        <f>+'Attachment H-1'!H17</f>
        <v>7.6899999999999996E-2</v>
      </c>
      <c r="G72" s="11"/>
    </row>
    <row r="73" spans="3:7">
      <c r="C73" s="9"/>
      <c r="G73" s="11"/>
    </row>
    <row r="74" spans="3:7">
      <c r="C74" s="20" t="s">
        <v>958</v>
      </c>
      <c r="E74" s="10">
        <f>+E70*E72</f>
        <v>8332446.5543499999</v>
      </c>
      <c r="F74" t="s">
        <v>690</v>
      </c>
      <c r="G74" s="11"/>
    </row>
    <row r="75" spans="3:7">
      <c r="C75" s="9"/>
      <c r="G75" s="11"/>
    </row>
    <row r="76" spans="3:7">
      <c r="C76" s="20" t="s">
        <v>959</v>
      </c>
      <c r="E76" s="10"/>
      <c r="G76" s="11"/>
    </row>
    <row r="77" spans="3:7">
      <c r="C77" s="9" t="s">
        <v>960</v>
      </c>
      <c r="D77" t="s">
        <v>332</v>
      </c>
      <c r="E77" s="84">
        <v>26365592.93</v>
      </c>
      <c r="G77" s="11"/>
    </row>
    <row r="78" spans="3:7" ht="15.75" thickBot="1">
      <c r="C78" s="9" t="s">
        <v>1447</v>
      </c>
      <c r="D78" t="s">
        <v>332</v>
      </c>
      <c r="E78" s="351">
        <v>0</v>
      </c>
      <c r="G78" s="11"/>
    </row>
    <row r="79" spans="3:7">
      <c r="C79" s="20" t="s">
        <v>961</v>
      </c>
      <c r="E79" s="10">
        <f>SUM(E77:E78)</f>
        <v>26365592.93</v>
      </c>
      <c r="G79" s="11"/>
    </row>
    <row r="80" spans="3:7">
      <c r="C80" s="9"/>
      <c r="E80" s="10"/>
      <c r="G80" s="11"/>
    </row>
    <row r="81" spans="3:7" ht="15.75" thickBot="1">
      <c r="C81" s="20" t="s">
        <v>962</v>
      </c>
      <c r="E81" s="18">
        <f>+E70+E79</f>
        <v>134719904.43000001</v>
      </c>
      <c r="G81" s="11"/>
    </row>
    <row r="82" spans="3:7" ht="15.75" thickTop="1">
      <c r="C82" s="9"/>
      <c r="E82" s="10"/>
      <c r="G82" s="11"/>
    </row>
    <row r="83" spans="3:7">
      <c r="C83" s="32" t="s">
        <v>105</v>
      </c>
      <c r="D83" s="4" t="s">
        <v>11</v>
      </c>
      <c r="E83" s="4" t="s">
        <v>104</v>
      </c>
      <c r="G83" s="11"/>
    </row>
    <row r="84" spans="3:7">
      <c r="C84" s="20" t="s">
        <v>948</v>
      </c>
      <c r="D84" s="4"/>
      <c r="E84" s="4"/>
      <c r="G84" s="11"/>
    </row>
    <row r="85" spans="3:7">
      <c r="C85" s="9" t="s">
        <v>949</v>
      </c>
      <c r="D85" t="s">
        <v>332</v>
      </c>
      <c r="E85" s="84">
        <v>1304722.05</v>
      </c>
      <c r="G85" s="11"/>
    </row>
    <row r="86" spans="3:7">
      <c r="C86" s="9" t="s">
        <v>950</v>
      </c>
      <c r="D86" t="s">
        <v>332</v>
      </c>
      <c r="E86" s="84">
        <v>69309</v>
      </c>
      <c r="G86" s="11"/>
    </row>
    <row r="87" spans="3:7">
      <c r="C87" s="9" t="s">
        <v>951</v>
      </c>
      <c r="D87" t="s">
        <v>332</v>
      </c>
      <c r="E87" s="84">
        <v>768597</v>
      </c>
      <c r="G87" s="11"/>
    </row>
    <row r="88" spans="3:7">
      <c r="C88" s="9" t="s">
        <v>952</v>
      </c>
      <c r="D88" t="s">
        <v>332</v>
      </c>
      <c r="E88" s="84">
        <v>4392789.01</v>
      </c>
      <c r="G88" s="11"/>
    </row>
    <row r="89" spans="3:7">
      <c r="C89" s="9" t="s">
        <v>953</v>
      </c>
      <c r="D89" t="s">
        <v>332</v>
      </c>
      <c r="E89" s="84">
        <v>671207.87</v>
      </c>
      <c r="G89" s="11"/>
    </row>
    <row r="90" spans="3:7">
      <c r="C90" s="9" t="s">
        <v>954</v>
      </c>
      <c r="D90" t="s">
        <v>332</v>
      </c>
      <c r="E90" s="84">
        <v>646190.99</v>
      </c>
      <c r="G90" s="11"/>
    </row>
    <row r="91" spans="3:7">
      <c r="C91" s="9" t="s">
        <v>955</v>
      </c>
      <c r="D91" t="s">
        <v>332</v>
      </c>
      <c r="E91" s="84">
        <v>16621.310000000001</v>
      </c>
      <c r="G91" s="11"/>
    </row>
    <row r="92" spans="3:7">
      <c r="C92" s="9" t="s">
        <v>1406</v>
      </c>
      <c r="D92" t="s">
        <v>332</v>
      </c>
      <c r="E92" s="84">
        <v>0</v>
      </c>
      <c r="G92" s="11"/>
    </row>
    <row r="93" spans="3:7">
      <c r="C93" s="9" t="s">
        <v>1747</v>
      </c>
      <c r="D93" t="s">
        <v>332</v>
      </c>
      <c r="E93" s="84">
        <v>68084573.469999999</v>
      </c>
      <c r="G93" s="11"/>
    </row>
    <row r="94" spans="3:7" ht="15.75" thickBot="1">
      <c r="C94" s="9" t="s">
        <v>956</v>
      </c>
      <c r="D94" t="s">
        <v>332</v>
      </c>
      <c r="E94" s="351">
        <v>1171286</v>
      </c>
      <c r="G94" s="11"/>
    </row>
    <row r="95" spans="3:7">
      <c r="C95" s="20" t="s">
        <v>957</v>
      </c>
      <c r="E95" s="47">
        <f>SUM(E85:E94)</f>
        <v>77125296.700000003</v>
      </c>
      <c r="G95" s="11"/>
    </row>
    <row r="96" spans="3:7">
      <c r="C96" s="9"/>
      <c r="G96" s="11"/>
    </row>
    <row r="97" spans="3:7">
      <c r="C97" s="20" t="s">
        <v>59</v>
      </c>
      <c r="E97" s="130">
        <f>+E72</f>
        <v>7.6899999999999996E-2</v>
      </c>
      <c r="G97" s="11"/>
    </row>
    <row r="98" spans="3:7">
      <c r="C98" s="9"/>
      <c r="G98" s="11"/>
    </row>
    <row r="99" spans="3:7">
      <c r="C99" s="20" t="s">
        <v>958</v>
      </c>
      <c r="E99" s="10">
        <f>+E95*E97</f>
        <v>5930935.31623</v>
      </c>
      <c r="F99" t="s">
        <v>963</v>
      </c>
      <c r="G99" s="11"/>
    </row>
    <row r="100" spans="3:7">
      <c r="C100" s="9"/>
      <c r="G100" s="11"/>
    </row>
    <row r="101" spans="3:7">
      <c r="C101" s="20" t="s">
        <v>959</v>
      </c>
      <c r="E101" s="10"/>
      <c r="G101" s="11"/>
    </row>
    <row r="102" spans="3:7">
      <c r="C102" s="9" t="s">
        <v>960</v>
      </c>
      <c r="D102" t="s">
        <v>332</v>
      </c>
      <c r="E102" s="84">
        <v>19244071.550000001</v>
      </c>
      <c r="G102" s="11"/>
    </row>
    <row r="103" spans="3:7">
      <c r="C103" s="9" t="s">
        <v>1447</v>
      </c>
      <c r="D103" t="s">
        <v>332</v>
      </c>
      <c r="E103" s="277">
        <v>0</v>
      </c>
      <c r="G103" s="11"/>
    </row>
    <row r="104" spans="3:7">
      <c r="C104" s="20" t="s">
        <v>961</v>
      </c>
      <c r="D104" s="4"/>
      <c r="E104" s="10">
        <f>SUM(E102:E103)</f>
        <v>19244071.550000001</v>
      </c>
      <c r="G104" s="11"/>
    </row>
    <row r="105" spans="3:7">
      <c r="C105" s="32"/>
      <c r="D105" s="4"/>
      <c r="E105" s="10"/>
      <c r="G105" s="11"/>
    </row>
    <row r="106" spans="3:7" ht="15.75" thickBot="1">
      <c r="C106" s="20" t="s">
        <v>962</v>
      </c>
      <c r="D106" s="4"/>
      <c r="E106" s="18">
        <f>+E95+E104</f>
        <v>96369368.25</v>
      </c>
      <c r="G106" s="11"/>
    </row>
    <row r="107" spans="3:7" ht="15.75" thickTop="1">
      <c r="C107" s="20"/>
      <c r="D107" s="4"/>
      <c r="E107" s="4"/>
      <c r="G107" s="11"/>
    </row>
    <row r="108" spans="3:7">
      <c r="C108" s="9" t="s">
        <v>964</v>
      </c>
      <c r="D108" t="s">
        <v>965</v>
      </c>
      <c r="E108" s="10">
        <f>-(E74+E99)/2</f>
        <v>-7131690.9352899995</v>
      </c>
      <c r="F108" t="s">
        <v>966</v>
      </c>
      <c r="G108" s="11"/>
    </row>
    <row r="109" spans="3:7">
      <c r="C109" s="20"/>
      <c r="D109" s="4"/>
      <c r="E109" s="4"/>
      <c r="G109" s="11"/>
    </row>
    <row r="110" spans="3:7">
      <c r="C110" s="20" t="s">
        <v>146</v>
      </c>
      <c r="D110" t="s">
        <v>967</v>
      </c>
      <c r="E110" s="47">
        <f>+E55+E108</f>
        <v>-8095849.9352899995</v>
      </c>
      <c r="F110" t="s">
        <v>601</v>
      </c>
      <c r="G110" s="11"/>
    </row>
    <row r="111" spans="3:7">
      <c r="C111" s="9"/>
      <c r="E111" s="10"/>
      <c r="G111" s="11"/>
    </row>
    <row r="112" spans="3:7" ht="15.75" thickBot="1">
      <c r="C112" s="14"/>
      <c r="D112" s="15"/>
      <c r="E112" s="15"/>
      <c r="F112" s="15"/>
      <c r="G112" s="17"/>
    </row>
    <row r="113" spans="3:7" ht="15.75" thickBot="1"/>
    <row r="114" spans="3:7">
      <c r="C114" s="30" t="s">
        <v>105</v>
      </c>
      <c r="D114" s="31" t="s">
        <v>11</v>
      </c>
      <c r="E114" s="31" t="s">
        <v>103</v>
      </c>
      <c r="F114" s="6"/>
      <c r="G114" s="8"/>
    </row>
    <row r="115" spans="3:7">
      <c r="C115" s="9" t="s">
        <v>141</v>
      </c>
      <c r="D115" t="s">
        <v>886</v>
      </c>
      <c r="E115" s="84">
        <v>-3156028</v>
      </c>
      <c r="F115" t="s">
        <v>689</v>
      </c>
      <c r="G115" s="11"/>
    </row>
    <row r="116" spans="3:7">
      <c r="C116" s="9"/>
      <c r="G116" s="11"/>
    </row>
    <row r="117" spans="3:7">
      <c r="C117" s="9"/>
      <c r="E117" s="4" t="s">
        <v>104</v>
      </c>
      <c r="G117" s="11"/>
    </row>
    <row r="118" spans="3:7">
      <c r="C118" s="9" t="s">
        <v>141</v>
      </c>
      <c r="D118" t="s">
        <v>138</v>
      </c>
      <c r="E118" s="84">
        <v>-3116554</v>
      </c>
      <c r="F118" t="s">
        <v>690</v>
      </c>
      <c r="G118" s="11"/>
    </row>
    <row r="119" spans="3:7">
      <c r="C119" s="9"/>
      <c r="G119" s="11"/>
    </row>
    <row r="120" spans="3:7">
      <c r="C120" s="9" t="s">
        <v>396</v>
      </c>
      <c r="D120" t="s">
        <v>691</v>
      </c>
      <c r="E120" s="10">
        <f>+(E118+E115)/2</f>
        <v>-3136291</v>
      </c>
      <c r="F120" t="s">
        <v>598</v>
      </c>
      <c r="G120" s="11"/>
    </row>
    <row r="121" spans="3:7" ht="15.75" thickBot="1">
      <c r="C121" s="14"/>
      <c r="D121" s="15"/>
      <c r="E121" s="15"/>
      <c r="F121" s="15"/>
      <c r="G121" s="17"/>
    </row>
  </sheetData>
  <pageMargins left="0.7" right="0.7" top="0.75" bottom="0.75" header="0.3" footer="0.3"/>
  <pageSetup scale="71" fitToHeight="0" orientation="landscape" r:id="rId1"/>
  <rowBreaks count="2" manualBreakCount="2">
    <brk id="38" max="16383" man="1"/>
    <brk id="80"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35"/>
  <sheetViews>
    <sheetView workbookViewId="0">
      <selection activeCell="J19" sqref="J19"/>
    </sheetView>
  </sheetViews>
  <sheetFormatPr defaultRowHeight="15"/>
  <cols>
    <col min="1" max="1" width="23.5703125" bestFit="1" customWidth="1"/>
    <col min="2" max="2" width="77.42578125" customWidth="1"/>
    <col min="3" max="3" width="34.140625" bestFit="1" customWidth="1"/>
    <col min="4" max="4" width="20.140625" bestFit="1" customWidth="1"/>
    <col min="7" max="7" width="12.5703125" customWidth="1"/>
    <col min="8" max="8" width="12.85546875" bestFit="1" customWidth="1"/>
    <col min="13" max="13" width="12.140625" bestFit="1" customWidth="1"/>
  </cols>
  <sheetData>
    <row r="1" spans="1:7">
      <c r="A1" s="1" t="s">
        <v>0</v>
      </c>
    </row>
    <row r="2" spans="1:7">
      <c r="A2" s="1" t="s">
        <v>764</v>
      </c>
    </row>
    <row r="3" spans="1:7" ht="93.75" customHeight="1">
      <c r="B3" s="596"/>
      <c r="C3" s="596"/>
      <c r="D3" s="596"/>
      <c r="E3" s="596"/>
      <c r="F3" s="596"/>
      <c r="G3" s="596"/>
    </row>
    <row r="5" spans="1:7">
      <c r="B5" t="s">
        <v>877</v>
      </c>
    </row>
    <row r="6" spans="1:7" ht="15.75" thickBot="1"/>
    <row r="7" spans="1:7">
      <c r="B7" s="21"/>
      <c r="C7" s="22" t="s">
        <v>11</v>
      </c>
      <c r="D7" s="22" t="s">
        <v>213</v>
      </c>
      <c r="E7" s="6"/>
      <c r="F7" s="6"/>
      <c r="G7" s="8"/>
    </row>
    <row r="8" spans="1:7">
      <c r="B8" s="9" t="s">
        <v>1166</v>
      </c>
      <c r="C8" t="s">
        <v>27</v>
      </c>
      <c r="D8" s="84">
        <v>649576.55686999997</v>
      </c>
      <c r="E8" t="s">
        <v>674</v>
      </c>
      <c r="G8" s="11"/>
    </row>
    <row r="9" spans="1:7" ht="15.75" thickBot="1">
      <c r="B9" s="14"/>
      <c r="C9" s="15"/>
      <c r="D9" s="76"/>
      <c r="E9" s="15"/>
      <c r="F9" s="15"/>
      <c r="G9" s="17"/>
    </row>
    <row r="10" spans="1:7" ht="15.75" thickBot="1">
      <c r="D10" s="73"/>
    </row>
    <row r="11" spans="1:7">
      <c r="B11" s="21"/>
      <c r="C11" s="6"/>
      <c r="D11" s="6"/>
      <c r="E11" s="6"/>
      <c r="F11" s="6"/>
      <c r="G11" s="8"/>
    </row>
    <row r="12" spans="1:7">
      <c r="B12" s="20" t="s">
        <v>908</v>
      </c>
      <c r="G12" s="11"/>
    </row>
    <row r="13" spans="1:7">
      <c r="B13" s="9"/>
      <c r="C13" s="12" t="s">
        <v>11</v>
      </c>
      <c r="D13" s="12" t="s">
        <v>213</v>
      </c>
      <c r="G13" s="11"/>
    </row>
    <row r="14" spans="1:7">
      <c r="B14" s="20" t="s">
        <v>218</v>
      </c>
      <c r="C14" s="12"/>
      <c r="D14" s="12"/>
      <c r="G14" s="11"/>
    </row>
    <row r="15" spans="1:7">
      <c r="B15" s="9" t="s">
        <v>909</v>
      </c>
      <c r="C15" t="s">
        <v>910</v>
      </c>
      <c r="D15" s="84">
        <v>957381</v>
      </c>
      <c r="G15" s="11"/>
    </row>
    <row r="16" spans="1:7">
      <c r="B16" s="9" t="s">
        <v>911</v>
      </c>
      <c r="C16" t="s">
        <v>912</v>
      </c>
      <c r="D16" s="84">
        <v>0</v>
      </c>
      <c r="G16" s="11"/>
    </row>
    <row r="17" spans="2:7">
      <c r="B17" s="9" t="s">
        <v>913</v>
      </c>
      <c r="C17" t="s">
        <v>914</v>
      </c>
      <c r="D17" s="84">
        <v>0</v>
      </c>
      <c r="G17" s="11"/>
    </row>
    <row r="18" spans="2:7">
      <c r="B18" s="9" t="s">
        <v>915</v>
      </c>
      <c r="C18" t="s">
        <v>916</v>
      </c>
      <c r="D18" s="84">
        <v>0</v>
      </c>
      <c r="G18" s="11"/>
    </row>
    <row r="19" spans="2:7">
      <c r="B19" s="9" t="s">
        <v>917</v>
      </c>
      <c r="C19" t="s">
        <v>918</v>
      </c>
      <c r="D19" s="84">
        <v>0</v>
      </c>
      <c r="G19" s="11"/>
    </row>
    <row r="20" spans="2:7">
      <c r="B20" s="9" t="s">
        <v>919</v>
      </c>
      <c r="C20" t="s">
        <v>920</v>
      </c>
      <c r="D20" s="84">
        <v>7462924</v>
      </c>
      <c r="G20" s="11"/>
    </row>
    <row r="21" spans="2:7">
      <c r="B21" s="9" t="s">
        <v>921</v>
      </c>
      <c r="C21" t="s">
        <v>922</v>
      </c>
      <c r="D21" s="84">
        <v>2722800</v>
      </c>
      <c r="G21" s="11"/>
    </row>
    <row r="22" spans="2:7">
      <c r="B22" s="9"/>
      <c r="D22" s="277"/>
      <c r="G22" s="11"/>
    </row>
    <row r="23" spans="2:7">
      <c r="B23" s="9"/>
      <c r="D23" s="128">
        <f>SUM(D15:D22)</f>
        <v>11143105</v>
      </c>
      <c r="E23" t="s">
        <v>675</v>
      </c>
      <c r="G23" s="11"/>
    </row>
    <row r="24" spans="2:7">
      <c r="B24" s="20" t="s">
        <v>219</v>
      </c>
      <c r="D24" s="128"/>
      <c r="G24" s="11"/>
    </row>
    <row r="25" spans="2:7">
      <c r="B25" s="9"/>
      <c r="D25" s="73"/>
      <c r="G25" s="11"/>
    </row>
    <row r="26" spans="2:7">
      <c r="B26" s="9" t="s">
        <v>1438</v>
      </c>
      <c r="C26" t="s">
        <v>923</v>
      </c>
      <c r="D26" s="84">
        <v>1200116</v>
      </c>
      <c r="G26" s="11"/>
    </row>
    <row r="27" spans="2:7">
      <c r="B27" s="9" t="s">
        <v>1645</v>
      </c>
      <c r="C27" t="s">
        <v>924</v>
      </c>
      <c r="D27" s="84">
        <v>1141372</v>
      </c>
      <c r="G27" s="11"/>
    </row>
    <row r="28" spans="2:7">
      <c r="B28" s="9" t="s">
        <v>1646</v>
      </c>
      <c r="C28" t="s">
        <v>1399</v>
      </c>
      <c r="D28" s="84">
        <v>0</v>
      </c>
      <c r="G28" s="11"/>
    </row>
    <row r="29" spans="2:7">
      <c r="B29" s="9" t="s">
        <v>1647</v>
      </c>
      <c r="C29" t="s">
        <v>1399</v>
      </c>
      <c r="D29" s="84">
        <v>0</v>
      </c>
      <c r="G29" s="11"/>
    </row>
    <row r="30" spans="2:7">
      <c r="B30" s="9" t="s">
        <v>1648</v>
      </c>
      <c r="C30" t="s">
        <v>925</v>
      </c>
      <c r="D30" s="84">
        <v>102718</v>
      </c>
      <c r="G30" s="11"/>
    </row>
    <row r="31" spans="2:7">
      <c r="B31" s="9" t="s">
        <v>1649</v>
      </c>
      <c r="C31" t="s">
        <v>1399</v>
      </c>
      <c r="D31" s="84">
        <v>0</v>
      </c>
      <c r="G31" s="11"/>
    </row>
    <row r="32" spans="2:7">
      <c r="B32" s="9"/>
      <c r="D32" s="84"/>
      <c r="G32" s="11"/>
    </row>
    <row r="33" spans="2:7">
      <c r="B33" s="9"/>
      <c r="D33" s="84"/>
      <c r="G33" s="11"/>
    </row>
    <row r="34" spans="2:7">
      <c r="B34" s="9"/>
      <c r="D34" s="84"/>
      <c r="G34" s="11"/>
    </row>
    <row r="35" spans="2:7">
      <c r="B35" s="9"/>
      <c r="D35" s="277"/>
      <c r="G35" s="11"/>
    </row>
    <row r="36" spans="2:7">
      <c r="B36" s="9"/>
      <c r="D36" s="128">
        <f>SUM(D25:D35)</f>
        <v>2444206</v>
      </c>
      <c r="E36" t="s">
        <v>689</v>
      </c>
      <c r="G36" s="11"/>
    </row>
    <row r="37" spans="2:7">
      <c r="B37" s="521"/>
      <c r="D37" s="10"/>
      <c r="G37" s="11"/>
    </row>
    <row r="38" spans="2:7">
      <c r="B38" s="20" t="s">
        <v>926</v>
      </c>
      <c r="C38" t="s">
        <v>927</v>
      </c>
      <c r="D38" s="126">
        <f>+D23+D36</f>
        <v>13587311</v>
      </c>
      <c r="G38" s="11"/>
    </row>
    <row r="39" spans="2:7">
      <c r="B39" s="521"/>
      <c r="D39" s="10"/>
      <c r="G39" s="11"/>
    </row>
    <row r="40" spans="2:7" ht="15.75" thickBot="1">
      <c r="B40" s="20" t="s">
        <v>928</v>
      </c>
      <c r="C40" t="s">
        <v>929</v>
      </c>
      <c r="D40" s="127">
        <f>+D8+D36</f>
        <v>3093782.55687</v>
      </c>
      <c r="E40" t="s">
        <v>603</v>
      </c>
      <c r="G40" s="11"/>
    </row>
    <row r="41" spans="2:7" ht="16.5" thickTop="1" thickBot="1">
      <c r="B41" s="23"/>
      <c r="C41" s="15"/>
      <c r="D41" s="16"/>
      <c r="E41" s="15"/>
      <c r="F41" s="15"/>
      <c r="G41" s="17"/>
    </row>
    <row r="42" spans="2:7">
      <c r="D42" s="73"/>
    </row>
    <row r="43" spans="2:7">
      <c r="B43" t="s">
        <v>766</v>
      </c>
      <c r="D43" s="73"/>
    </row>
    <row r="44" spans="2:7">
      <c r="B44" t="s">
        <v>767</v>
      </c>
      <c r="D44" s="3"/>
    </row>
    <row r="45" spans="2:7">
      <c r="B45" t="s">
        <v>694</v>
      </c>
      <c r="D45" s="3"/>
    </row>
    <row r="46" spans="2:7" ht="15.75" thickBot="1">
      <c r="D46" s="3"/>
    </row>
    <row r="47" spans="2:7">
      <c r="B47" s="21"/>
      <c r="C47" s="6"/>
      <c r="D47" s="7"/>
      <c r="E47" s="6"/>
      <c r="F47" s="6"/>
      <c r="G47" s="8"/>
    </row>
    <row r="48" spans="2:7">
      <c r="B48" s="20" t="s">
        <v>216</v>
      </c>
      <c r="D48" s="10"/>
      <c r="G48" s="11"/>
    </row>
    <row r="49" spans="2:7">
      <c r="B49" s="9"/>
      <c r="C49" s="12" t="s">
        <v>11</v>
      </c>
      <c r="D49" s="13" t="s">
        <v>213</v>
      </c>
      <c r="G49" s="11"/>
    </row>
    <row r="50" spans="2:7">
      <c r="B50" s="9" t="s">
        <v>214</v>
      </c>
      <c r="C50" t="s">
        <v>27</v>
      </c>
      <c r="D50" s="84">
        <v>-18743269</v>
      </c>
      <c r="E50" t="s">
        <v>1169</v>
      </c>
      <c r="G50" s="11"/>
    </row>
    <row r="51" spans="2:7">
      <c r="B51" s="9"/>
      <c r="D51" s="10"/>
      <c r="G51" s="11"/>
    </row>
    <row r="52" spans="2:7">
      <c r="B52" s="9" t="s">
        <v>768</v>
      </c>
      <c r="D52" s="10"/>
      <c r="G52" s="11"/>
    </row>
    <row r="53" spans="2:7">
      <c r="B53" s="9" t="s">
        <v>1371</v>
      </c>
      <c r="C53" t="s">
        <v>27</v>
      </c>
      <c r="D53" s="84">
        <v>12410209</v>
      </c>
      <c r="E53" t="s">
        <v>607</v>
      </c>
      <c r="G53" s="11"/>
    </row>
    <row r="54" spans="2:7">
      <c r="B54" s="9" t="s">
        <v>1372</v>
      </c>
      <c r="C54" t="s">
        <v>27</v>
      </c>
      <c r="D54" s="84">
        <v>20245009</v>
      </c>
      <c r="E54" t="s">
        <v>1170</v>
      </c>
      <c r="G54" s="11"/>
    </row>
    <row r="55" spans="2:7">
      <c r="B55" s="9" t="s">
        <v>1373</v>
      </c>
      <c r="C55" t="s">
        <v>27</v>
      </c>
      <c r="D55" s="84">
        <v>4265972</v>
      </c>
      <c r="E55" t="s">
        <v>703</v>
      </c>
      <c r="G55" s="11"/>
    </row>
    <row r="56" spans="2:7">
      <c r="B56" s="9" t="s">
        <v>1374</v>
      </c>
      <c r="C56" t="s">
        <v>27</v>
      </c>
      <c r="D56" s="84">
        <v>-1619434</v>
      </c>
      <c r="G56" s="11"/>
    </row>
    <row r="57" spans="2:7">
      <c r="B57" s="9" t="s">
        <v>1462</v>
      </c>
      <c r="C57" t="s">
        <v>27</v>
      </c>
      <c r="D57" s="84">
        <v>459527</v>
      </c>
      <c r="G57" s="11"/>
    </row>
    <row r="58" spans="2:7">
      <c r="B58" s="9" t="s">
        <v>1375</v>
      </c>
      <c r="C58" t="s">
        <v>27</v>
      </c>
      <c r="D58" s="84">
        <v>1196058</v>
      </c>
      <c r="G58" s="11"/>
    </row>
    <row r="59" spans="2:7">
      <c r="B59" s="9" t="s">
        <v>1376</v>
      </c>
      <c r="C59" t="s">
        <v>27</v>
      </c>
      <c r="D59" s="84">
        <v>-408162</v>
      </c>
      <c r="G59" s="11"/>
    </row>
    <row r="60" spans="2:7">
      <c r="B60" s="572" t="s">
        <v>1461</v>
      </c>
      <c r="C60" t="s">
        <v>27</v>
      </c>
      <c r="D60" s="84">
        <v>644</v>
      </c>
      <c r="G60" s="11"/>
    </row>
    <row r="61" spans="2:7">
      <c r="B61" s="9" t="s">
        <v>265</v>
      </c>
      <c r="C61" t="s">
        <v>27</v>
      </c>
      <c r="D61" s="84">
        <v>0</v>
      </c>
      <c r="G61" s="11"/>
    </row>
    <row r="62" spans="2:7">
      <c r="B62" s="9" t="s">
        <v>696</v>
      </c>
      <c r="D62" s="10">
        <f>SUM(D53:D61)</f>
        <v>36549823</v>
      </c>
      <c r="G62" s="11"/>
    </row>
    <row r="63" spans="2:7">
      <c r="B63" s="9"/>
      <c r="D63" s="10"/>
      <c r="G63" s="11"/>
    </row>
    <row r="64" spans="2:7" ht="15.75" thickBot="1">
      <c r="B64" s="9" t="s">
        <v>215</v>
      </c>
      <c r="C64" t="s">
        <v>695</v>
      </c>
      <c r="D64" s="18">
        <f>+D62+D50</f>
        <v>17806554</v>
      </c>
      <c r="E64" t="s">
        <v>1256</v>
      </c>
      <c r="G64" s="11"/>
    </row>
    <row r="65" spans="2:7" ht="16.5" thickTop="1" thickBot="1">
      <c r="B65" s="23"/>
      <c r="C65" s="15"/>
      <c r="D65" s="15"/>
      <c r="E65" s="15"/>
      <c r="F65" s="15"/>
      <c r="G65" s="17"/>
    </row>
    <row r="66" spans="2:7">
      <c r="B66" s="12"/>
    </row>
    <row r="67" spans="2:7">
      <c r="B67" t="s">
        <v>878</v>
      </c>
    </row>
    <row r="68" spans="2:7">
      <c r="B68" t="s">
        <v>879</v>
      </c>
    </row>
    <row r="70" spans="2:7">
      <c r="B70" t="s">
        <v>906</v>
      </c>
    </row>
    <row r="71" spans="2:7">
      <c r="B71" t="s">
        <v>907</v>
      </c>
    </row>
    <row r="73" spans="2:7">
      <c r="B73" t="s">
        <v>904</v>
      </c>
    </row>
    <row r="74" spans="2:7">
      <c r="B74" t="s">
        <v>905</v>
      </c>
    </row>
    <row r="75" spans="2:7" ht="15.75" thickBot="1"/>
    <row r="76" spans="2:7">
      <c r="B76" s="21"/>
      <c r="C76" s="6"/>
      <c r="D76" s="6"/>
      <c r="E76" s="6"/>
      <c r="F76" s="6"/>
      <c r="G76" s="8"/>
    </row>
    <row r="77" spans="2:7">
      <c r="B77" s="20" t="s">
        <v>217</v>
      </c>
      <c r="G77" s="11"/>
    </row>
    <row r="78" spans="2:7">
      <c r="B78" s="9"/>
      <c r="C78" s="12" t="s">
        <v>11</v>
      </c>
      <c r="D78" s="12" t="s">
        <v>213</v>
      </c>
      <c r="G78" s="11"/>
    </row>
    <row r="79" spans="2:7">
      <c r="B79" s="20" t="s">
        <v>218</v>
      </c>
      <c r="G79" s="11"/>
    </row>
    <row r="80" spans="2:7">
      <c r="B80" s="9" t="s">
        <v>229</v>
      </c>
      <c r="D80" s="84">
        <v>0</v>
      </c>
      <c r="G80" s="11"/>
    </row>
    <row r="81" spans="2:13">
      <c r="B81" s="9"/>
      <c r="D81" s="277">
        <v>0</v>
      </c>
      <c r="G81" s="11"/>
    </row>
    <row r="82" spans="2:13">
      <c r="B82" s="20" t="s">
        <v>218</v>
      </c>
      <c r="D82" s="10">
        <f>SUM(D80:D81)</f>
        <v>0</v>
      </c>
      <c r="E82" t="s">
        <v>674</v>
      </c>
      <c r="G82" s="11"/>
    </row>
    <row r="83" spans="2:13">
      <c r="B83" s="9"/>
      <c r="D83" s="10"/>
      <c r="G83" s="11"/>
    </row>
    <row r="84" spans="2:13">
      <c r="B84" s="20" t="s">
        <v>219</v>
      </c>
      <c r="D84" s="10"/>
      <c r="G84" s="11"/>
    </row>
    <row r="85" spans="2:13">
      <c r="B85" s="9" t="s">
        <v>223</v>
      </c>
      <c r="C85" t="s">
        <v>903</v>
      </c>
      <c r="D85" s="84">
        <v>0</v>
      </c>
      <c r="G85" s="11"/>
    </row>
    <row r="86" spans="2:13">
      <c r="B86" s="9" t="s">
        <v>222</v>
      </c>
      <c r="C86" t="s">
        <v>1744</v>
      </c>
      <c r="D86" s="84">
        <v>926013</v>
      </c>
      <c r="G86" s="11"/>
    </row>
    <row r="87" spans="2:13">
      <c r="B87" s="9" t="s">
        <v>221</v>
      </c>
      <c r="C87" t="s">
        <v>1434</v>
      </c>
      <c r="D87" s="84">
        <v>35968332</v>
      </c>
      <c r="G87" s="11"/>
    </row>
    <row r="88" spans="2:13">
      <c r="B88" s="9" t="s">
        <v>224</v>
      </c>
      <c r="C88" t="s">
        <v>1465</v>
      </c>
      <c r="D88" s="84">
        <v>1408221</v>
      </c>
      <c r="G88" s="11"/>
    </row>
    <row r="89" spans="2:13">
      <c r="B89" s="9" t="s">
        <v>1785</v>
      </c>
      <c r="C89" t="s">
        <v>1677</v>
      </c>
      <c r="D89" s="84">
        <v>1926921</v>
      </c>
      <c r="G89" s="11"/>
    </row>
    <row r="90" spans="2:13">
      <c r="B90" s="9" t="s">
        <v>1650</v>
      </c>
      <c r="C90" t="s">
        <v>1445</v>
      </c>
      <c r="D90" s="84">
        <v>324908</v>
      </c>
      <c r="G90" s="11"/>
    </row>
    <row r="91" spans="2:13">
      <c r="B91" s="9" t="s">
        <v>1745</v>
      </c>
      <c r="C91" t="s">
        <v>1783</v>
      </c>
      <c r="D91" s="277">
        <v>33225</v>
      </c>
      <c r="G91" s="11"/>
    </row>
    <row r="92" spans="2:13">
      <c r="B92" s="20" t="s">
        <v>227</v>
      </c>
      <c r="D92" s="10">
        <f>SUM(D85:D91)</f>
        <v>40587620</v>
      </c>
      <c r="G92" s="11"/>
    </row>
    <row r="93" spans="2:13">
      <c r="B93" s="9"/>
      <c r="D93" s="10"/>
      <c r="G93" s="11"/>
    </row>
    <row r="94" spans="2:13">
      <c r="B94" s="20" t="s">
        <v>220</v>
      </c>
      <c r="D94" s="10"/>
      <c r="G94" s="11"/>
    </row>
    <row r="95" spans="2:13">
      <c r="B95" s="9" t="s">
        <v>225</v>
      </c>
      <c r="C95" t="s">
        <v>1407</v>
      </c>
      <c r="D95" s="84">
        <v>1833383.4</v>
      </c>
      <c r="G95" s="11"/>
    </row>
    <row r="96" spans="2:13">
      <c r="B96" s="9" t="s">
        <v>1444</v>
      </c>
      <c r="C96" t="s">
        <v>1784</v>
      </c>
      <c r="D96" s="277">
        <v>40096.400000000001</v>
      </c>
      <c r="G96" s="11"/>
      <c r="M96" s="131"/>
    </row>
    <row r="97" spans="2:7">
      <c r="B97" s="20" t="s">
        <v>226</v>
      </c>
      <c r="D97" s="10">
        <f>SUM(D95:D96)</f>
        <v>1873479.7999999998</v>
      </c>
      <c r="E97" t="s">
        <v>1171</v>
      </c>
      <c r="G97" s="11"/>
    </row>
    <row r="98" spans="2:7">
      <c r="B98" s="9"/>
      <c r="D98" s="10"/>
      <c r="G98" s="11"/>
    </row>
    <row r="99" spans="2:7" ht="15.75" thickBot="1">
      <c r="B99" s="9" t="s">
        <v>228</v>
      </c>
      <c r="C99" t="s">
        <v>1639</v>
      </c>
      <c r="D99" s="18">
        <f>+D97+D92+D82</f>
        <v>42461099.799999997</v>
      </c>
      <c r="G99" s="11"/>
    </row>
    <row r="100" spans="2:7" ht="15.75" thickTop="1">
      <c r="B100" s="9"/>
      <c r="D100" s="10"/>
      <c r="G100" s="11"/>
    </row>
    <row r="101" spans="2:7">
      <c r="B101" s="521"/>
      <c r="D101" s="10"/>
      <c r="G101" s="11"/>
    </row>
    <row r="102" spans="2:7">
      <c r="B102" s="521"/>
      <c r="D102" s="10"/>
      <c r="G102" s="11"/>
    </row>
    <row r="103" spans="2:7" ht="15.75" thickBot="1">
      <c r="B103" s="20" t="s">
        <v>765</v>
      </c>
      <c r="C103" t="s">
        <v>1268</v>
      </c>
      <c r="D103" s="111">
        <f>+D82</f>
        <v>0</v>
      </c>
      <c r="E103" t="s">
        <v>822</v>
      </c>
      <c r="G103" s="11"/>
    </row>
    <row r="104" spans="2:7" ht="15.75" thickTop="1">
      <c r="B104" s="521"/>
      <c r="D104" s="10"/>
      <c r="G104" s="11"/>
    </row>
    <row r="105" spans="2:7" ht="15.75" thickBot="1">
      <c r="B105" s="23"/>
      <c r="C105" s="15"/>
      <c r="D105" s="16"/>
      <c r="E105" s="15"/>
      <c r="F105" s="15"/>
      <c r="G105" s="17"/>
    </row>
    <row r="106" spans="2:7">
      <c r="B106" s="1"/>
      <c r="D106" s="3"/>
    </row>
    <row r="107" spans="2:7">
      <c r="B107" t="s">
        <v>1782</v>
      </c>
    </row>
    <row r="110" spans="2:7" ht="15.75" thickBot="1"/>
    <row r="111" spans="2:7">
      <c r="B111" s="21"/>
      <c r="C111" s="6"/>
      <c r="D111" s="6"/>
      <c r="E111" s="6"/>
      <c r="F111" s="6"/>
      <c r="G111" s="8"/>
    </row>
    <row r="112" spans="2:7">
      <c r="B112" s="20" t="s">
        <v>204</v>
      </c>
      <c r="G112" s="11"/>
    </row>
    <row r="113" spans="2:14">
      <c r="B113" s="9"/>
      <c r="C113" s="12" t="s">
        <v>11</v>
      </c>
      <c r="D113" s="12" t="s">
        <v>213</v>
      </c>
      <c r="G113" s="11"/>
    </row>
    <row r="114" spans="2:14">
      <c r="B114" s="20"/>
      <c r="G114" s="11"/>
    </row>
    <row r="115" spans="2:14">
      <c r="B115" s="9" t="s">
        <v>205</v>
      </c>
      <c r="C115" t="s">
        <v>206</v>
      </c>
      <c r="D115" s="73">
        <f>+'FERC Form 1 Inputs'!L49</f>
        <v>190506650</v>
      </c>
      <c r="G115" s="11"/>
      <c r="H115" s="47"/>
      <c r="N115" s="201"/>
    </row>
    <row r="116" spans="2:14">
      <c r="B116" s="9" t="s">
        <v>1779</v>
      </c>
      <c r="C116" t="s">
        <v>1743</v>
      </c>
      <c r="D116" s="84">
        <v>3176475</v>
      </c>
      <c r="E116" t="s">
        <v>902</v>
      </c>
      <c r="G116" s="11"/>
    </row>
    <row r="117" spans="2:14">
      <c r="B117" s="9" t="s">
        <v>1780</v>
      </c>
      <c r="C117" t="s">
        <v>1781</v>
      </c>
      <c r="D117" s="277">
        <v>-3269273</v>
      </c>
      <c r="E117" t="s">
        <v>902</v>
      </c>
      <c r="G117" s="11"/>
      <c r="H117" s="312"/>
      <c r="I117" s="312"/>
      <c r="J117" s="312"/>
    </row>
    <row r="118" spans="2:14">
      <c r="B118" s="9"/>
      <c r="D118" s="10">
        <f>SUM(D115:D117)</f>
        <v>190413852</v>
      </c>
      <c r="E118" t="s">
        <v>1172</v>
      </c>
      <c r="G118" s="11"/>
    </row>
    <row r="119" spans="2:14" ht="15.75" thickBot="1">
      <c r="B119" s="23"/>
      <c r="C119" s="15"/>
      <c r="D119" s="16"/>
      <c r="E119" s="15"/>
      <c r="F119" s="15"/>
      <c r="G119" s="17"/>
    </row>
    <row r="120" spans="2:14" ht="15.75" thickBot="1"/>
    <row r="121" spans="2:14">
      <c r="B121" s="21"/>
      <c r="C121" s="6"/>
      <c r="D121" s="6"/>
      <c r="E121" s="6"/>
      <c r="F121" s="6"/>
      <c r="G121" s="8"/>
    </row>
    <row r="122" spans="2:14">
      <c r="B122" s="20" t="s">
        <v>932</v>
      </c>
      <c r="G122" s="11"/>
    </row>
    <row r="123" spans="2:14">
      <c r="B123" s="9"/>
      <c r="C123" s="12" t="s">
        <v>11</v>
      </c>
      <c r="D123" s="12" t="s">
        <v>213</v>
      </c>
      <c r="G123" s="11"/>
    </row>
    <row r="124" spans="2:14">
      <c r="B124" s="20"/>
      <c r="G124" s="11"/>
    </row>
    <row r="125" spans="2:14">
      <c r="B125" s="9" t="s">
        <v>205</v>
      </c>
      <c r="C125" t="s">
        <v>211</v>
      </c>
      <c r="D125" s="73">
        <f>+D118</f>
        <v>190413852</v>
      </c>
      <c r="G125" s="11"/>
      <c r="H125" s="47"/>
    </row>
    <row r="126" spans="2:14">
      <c r="B126" s="129" t="s">
        <v>207</v>
      </c>
      <c r="C126" t="s">
        <v>208</v>
      </c>
      <c r="D126" s="84">
        <v>2966738</v>
      </c>
      <c r="G126" s="11"/>
      <c r="H126" s="47"/>
    </row>
    <row r="127" spans="2:14">
      <c r="B127" s="129" t="s">
        <v>209</v>
      </c>
      <c r="C127" t="s">
        <v>210</v>
      </c>
      <c r="D127" s="84">
        <v>42461100</v>
      </c>
      <c r="G127" s="11"/>
      <c r="H127" s="47"/>
    </row>
    <row r="128" spans="2:14">
      <c r="B128" s="129" t="s">
        <v>658</v>
      </c>
      <c r="C128" t="s">
        <v>212</v>
      </c>
      <c r="D128" s="84">
        <v>17806554</v>
      </c>
      <c r="G128" s="11"/>
      <c r="H128" s="47"/>
    </row>
    <row r="129" spans="2:14">
      <c r="B129" s="129" t="s">
        <v>930</v>
      </c>
      <c r="C129" t="s">
        <v>211</v>
      </c>
      <c r="D129" s="73">
        <f>+D40</f>
        <v>3093782.55687</v>
      </c>
      <c r="G129" s="11"/>
      <c r="H129" s="47"/>
    </row>
    <row r="130" spans="2:14">
      <c r="B130" s="129" t="s">
        <v>230</v>
      </c>
      <c r="C130" t="s">
        <v>211</v>
      </c>
      <c r="D130" s="73">
        <f>+D97</f>
        <v>1873479.7999999998</v>
      </c>
      <c r="G130" s="11"/>
      <c r="H130" s="47"/>
      <c r="N130" s="131"/>
    </row>
    <row r="131" spans="2:14">
      <c r="B131" s="129" t="s">
        <v>231</v>
      </c>
      <c r="C131" t="s">
        <v>211</v>
      </c>
      <c r="D131" s="126">
        <f>+D50</f>
        <v>-18743269</v>
      </c>
      <c r="G131" s="11"/>
      <c r="H131" s="47"/>
    </row>
    <row r="132" spans="2:14">
      <c r="B132" s="9"/>
      <c r="D132" s="10">
        <f>+D125-D126-D127-D128-D129+D130+D131</f>
        <v>107215888.24313</v>
      </c>
      <c r="G132" s="11"/>
      <c r="H132" s="47"/>
    </row>
    <row r="133" spans="2:14">
      <c r="B133" s="129" t="s">
        <v>933</v>
      </c>
      <c r="D133" s="187">
        <f>('Schedule 13 Direct Assignment'!M82)/('Attachment H-1'!H108+'Attachment H-1'!H107)</f>
        <v>5.067476428920506E-2</v>
      </c>
      <c r="G133" s="11"/>
    </row>
    <row r="134" spans="2:14" ht="15.75" thickBot="1">
      <c r="B134" s="129" t="s">
        <v>1167</v>
      </c>
      <c r="D134" s="127">
        <f>+D132*D133</f>
        <v>5433139.864778365</v>
      </c>
      <c r="E134" t="s">
        <v>755</v>
      </c>
      <c r="G134" s="11"/>
      <c r="H134" s="47"/>
      <c r="I134" s="47"/>
    </row>
    <row r="135" spans="2:14" ht="16.5" thickTop="1" thickBot="1">
      <c r="B135" s="23"/>
      <c r="C135" s="15"/>
      <c r="D135" s="16"/>
      <c r="E135" s="15"/>
      <c r="F135" s="15"/>
      <c r="G135" s="17"/>
    </row>
  </sheetData>
  <mergeCells count="1">
    <mergeCell ref="B3:G3"/>
  </mergeCells>
  <pageMargins left="0.7" right="0.7" top="0.5" bottom="0.5" header="0.3" footer="0.3"/>
  <pageSetup scale="48" fitToHeight="0" orientation="portrait" r:id="rId1"/>
  <rowBreaks count="1" manualBreakCount="1">
    <brk id="6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0"/>
  <sheetViews>
    <sheetView workbookViewId="0">
      <selection activeCell="I17" sqref="I17"/>
    </sheetView>
  </sheetViews>
  <sheetFormatPr defaultRowHeight="15"/>
  <cols>
    <col min="2" max="2" width="52.42578125" customWidth="1"/>
    <col min="3" max="3" width="76.28515625" bestFit="1" customWidth="1"/>
    <col min="4" max="4" width="28.85546875" bestFit="1" customWidth="1"/>
    <col min="5" max="5" width="21.7109375" bestFit="1" customWidth="1"/>
    <col min="6" max="6" width="24.85546875" bestFit="1" customWidth="1"/>
    <col min="7" max="7" width="12.42578125" bestFit="1" customWidth="1"/>
  </cols>
  <sheetData>
    <row r="1" spans="1:8">
      <c r="A1" s="1" t="s">
        <v>0</v>
      </c>
    </row>
    <row r="2" spans="1:8">
      <c r="A2" s="1" t="s">
        <v>249</v>
      </c>
    </row>
    <row r="4" spans="1:8" ht="68.25" customHeight="1">
      <c r="B4" s="596"/>
      <c r="C4" s="596"/>
      <c r="D4" s="596"/>
      <c r="E4" s="596"/>
      <c r="F4" s="596"/>
      <c r="G4" s="596"/>
    </row>
    <row r="5" spans="1:8">
      <c r="B5" t="s">
        <v>880</v>
      </c>
    </row>
    <row r="6" spans="1:8">
      <c r="B6" t="s">
        <v>704</v>
      </c>
    </row>
    <row r="7" spans="1:8" ht="15.75" thickBot="1"/>
    <row r="8" spans="1:8">
      <c r="B8" s="5" t="s">
        <v>250</v>
      </c>
      <c r="C8" s="6"/>
      <c r="D8" s="6"/>
      <c r="E8" s="6"/>
      <c r="F8" s="6"/>
      <c r="G8" s="6"/>
      <c r="H8" s="8"/>
    </row>
    <row r="9" spans="1:8">
      <c r="B9" s="9"/>
      <c r="C9" s="34" t="s">
        <v>11</v>
      </c>
      <c r="D9" s="34" t="s">
        <v>213</v>
      </c>
      <c r="H9" s="11"/>
    </row>
    <row r="10" spans="1:8">
      <c r="B10" s="9" t="s">
        <v>251</v>
      </c>
      <c r="H10" s="11"/>
    </row>
    <row r="11" spans="1:8">
      <c r="B11" s="9" t="s">
        <v>252</v>
      </c>
      <c r="C11" t="s">
        <v>1833</v>
      </c>
      <c r="D11" s="228">
        <f>'FERC Form 1 Inputs'!L33</f>
        <v>3849324</v>
      </c>
      <c r="E11" s="312"/>
      <c r="H11" s="11"/>
    </row>
    <row r="12" spans="1:8">
      <c r="B12" s="9" t="s">
        <v>253</v>
      </c>
      <c r="C12" t="s">
        <v>1773</v>
      </c>
      <c r="D12" s="228">
        <f>'FERC Form 1 Inputs'!L34</f>
        <v>22149</v>
      </c>
      <c r="E12" s="312"/>
      <c r="H12" s="11"/>
    </row>
    <row r="13" spans="1:8">
      <c r="B13" s="9" t="s">
        <v>254</v>
      </c>
      <c r="C13" t="s">
        <v>1772</v>
      </c>
      <c r="D13" s="228">
        <f>'FERC Form 1 Inputs'!L35</f>
        <v>368706</v>
      </c>
      <c r="E13" s="312"/>
      <c r="H13" s="11"/>
    </row>
    <row r="14" spans="1:8">
      <c r="B14" s="9" t="s">
        <v>265</v>
      </c>
      <c r="C14" t="s">
        <v>1736</v>
      </c>
      <c r="D14" s="228">
        <f>'FERC Form 1 Inputs'!L37</f>
        <v>0</v>
      </c>
      <c r="E14" s="312"/>
      <c r="H14" s="11"/>
    </row>
    <row r="15" spans="1:8">
      <c r="B15" s="9" t="s">
        <v>258</v>
      </c>
      <c r="D15" s="26">
        <f>SUM(D11:D14)</f>
        <v>4240179</v>
      </c>
      <c r="H15" s="11"/>
    </row>
    <row r="16" spans="1:8">
      <c r="B16" s="9" t="s">
        <v>59</v>
      </c>
      <c r="D16" s="28">
        <f>+'Attachment H-1'!H17</f>
        <v>7.6899999999999996E-2</v>
      </c>
      <c r="H16" s="11"/>
    </row>
    <row r="17" spans="2:12">
      <c r="B17" s="20" t="s">
        <v>259</v>
      </c>
      <c r="D17" s="26">
        <f>+D15*D16</f>
        <v>326069.76509999996</v>
      </c>
      <c r="H17" s="11"/>
    </row>
    <row r="18" spans="2:12">
      <c r="B18" s="20"/>
      <c r="D18" s="26"/>
      <c r="H18" s="11"/>
    </row>
    <row r="19" spans="2:12">
      <c r="B19" s="9" t="s">
        <v>701</v>
      </c>
      <c r="C19" t="s">
        <v>700</v>
      </c>
      <c r="D19" s="26">
        <f>+E58</f>
        <v>237236.58924744849</v>
      </c>
      <c r="H19" s="11"/>
    </row>
    <row r="20" spans="2:12">
      <c r="B20" s="20"/>
      <c r="D20" s="26"/>
      <c r="H20" s="11"/>
    </row>
    <row r="21" spans="2:12" ht="15.75" thickBot="1">
      <c r="B21" s="20" t="s">
        <v>702</v>
      </c>
      <c r="D21" s="104">
        <f>+D17+D19</f>
        <v>563306.35434744845</v>
      </c>
      <c r="E21" t="s">
        <v>608</v>
      </c>
      <c r="H21" s="11"/>
    </row>
    <row r="22" spans="2:12" ht="15.75" thickTop="1">
      <c r="B22" s="9"/>
      <c r="H22" s="11"/>
    </row>
    <row r="23" spans="2:12">
      <c r="B23" s="9" t="s">
        <v>256</v>
      </c>
      <c r="C23" t="s">
        <v>1774</v>
      </c>
      <c r="D23" s="26">
        <f>'FERC Form 1 Inputs'!L36</f>
        <v>33925759</v>
      </c>
      <c r="E23" s="312"/>
      <c r="H23" s="11"/>
    </row>
    <row r="24" spans="2:12">
      <c r="B24" s="9" t="s">
        <v>255</v>
      </c>
      <c r="D24" s="28">
        <f>+'Attachment H-1'!H25</f>
        <v>0.2646</v>
      </c>
      <c r="H24" s="11"/>
    </row>
    <row r="25" spans="2:12">
      <c r="B25" s="9" t="s">
        <v>257</v>
      </c>
      <c r="D25" s="26">
        <f>+D23*D24</f>
        <v>8976755.8313999996</v>
      </c>
      <c r="H25" s="11"/>
    </row>
    <row r="26" spans="2:12">
      <c r="B26" s="20"/>
      <c r="D26" s="26"/>
      <c r="H26" s="11"/>
    </row>
    <row r="27" spans="2:12">
      <c r="B27" s="9" t="s">
        <v>544</v>
      </c>
      <c r="C27" t="s">
        <v>700</v>
      </c>
      <c r="D27" s="26">
        <f>+F58</f>
        <v>323896.80584299495</v>
      </c>
      <c r="H27" s="11"/>
    </row>
    <row r="28" spans="2:12">
      <c r="B28" s="20"/>
      <c r="D28" s="26"/>
      <c r="H28" s="11"/>
    </row>
    <row r="29" spans="2:12">
      <c r="B29" s="20" t="s">
        <v>992</v>
      </c>
      <c r="D29" s="26">
        <f>+D27+D25</f>
        <v>9300652.6372429952</v>
      </c>
      <c r="H29" s="11"/>
      <c r="L29" s="1"/>
    </row>
    <row r="30" spans="2:12">
      <c r="B30" s="20"/>
      <c r="D30" s="26"/>
      <c r="H30" s="11"/>
    </row>
    <row r="31" spans="2:12">
      <c r="B31" s="9" t="s">
        <v>993</v>
      </c>
      <c r="C31" t="s">
        <v>569</v>
      </c>
      <c r="D31" s="26">
        <f>+'Schedule 13 Direct Assignment'!M90</f>
        <v>3241177.6502755051</v>
      </c>
      <c r="H31" s="11"/>
    </row>
    <row r="32" spans="2:12">
      <c r="B32" s="20"/>
      <c r="D32" s="26"/>
      <c r="H32" s="11"/>
    </row>
    <row r="33" spans="2:8" ht="15.75" thickBot="1">
      <c r="B33" s="20" t="s">
        <v>545</v>
      </c>
      <c r="D33" s="29">
        <f>+D29-D31</f>
        <v>6059474.9869674901</v>
      </c>
      <c r="E33" t="s">
        <v>994</v>
      </c>
      <c r="H33" s="11"/>
    </row>
    <row r="34" spans="2:8" ht="15.75" thickTop="1">
      <c r="B34" s="9"/>
      <c r="D34" s="26"/>
      <c r="H34" s="11"/>
    </row>
    <row r="35" spans="2:8">
      <c r="B35" s="9"/>
      <c r="D35" s="26"/>
      <c r="E35" t="s">
        <v>492</v>
      </c>
      <c r="F35" t="s">
        <v>492</v>
      </c>
      <c r="H35" s="11"/>
    </row>
    <row r="36" spans="2:8">
      <c r="B36" s="20" t="s">
        <v>260</v>
      </c>
      <c r="D36" s="73" t="s">
        <v>55</v>
      </c>
      <c r="E36" t="s">
        <v>490</v>
      </c>
      <c r="F36" t="s">
        <v>491</v>
      </c>
      <c r="H36" s="11"/>
    </row>
    <row r="37" spans="2:8">
      <c r="B37" s="9" t="s">
        <v>261</v>
      </c>
      <c r="C37" t="s">
        <v>1834</v>
      </c>
      <c r="D37" s="228">
        <v>11139</v>
      </c>
      <c r="E37" s="228">
        <v>0</v>
      </c>
      <c r="F37" s="84">
        <f t="shared" ref="F37:F42" si="0">+D37-E37</f>
        <v>11139</v>
      </c>
      <c r="H37" s="11"/>
    </row>
    <row r="38" spans="2:8">
      <c r="B38" s="9" t="s">
        <v>262</v>
      </c>
      <c r="C38" t="s">
        <v>1835</v>
      </c>
      <c r="D38" s="228">
        <v>5074514</v>
      </c>
      <c r="E38" s="228">
        <v>0</v>
      </c>
      <c r="F38" s="84">
        <f t="shared" si="0"/>
        <v>5074514</v>
      </c>
      <c r="H38" s="11"/>
    </row>
    <row r="39" spans="2:8">
      <c r="B39" s="9" t="s">
        <v>263</v>
      </c>
      <c r="C39" t="s">
        <v>1836</v>
      </c>
      <c r="D39" s="228">
        <v>-7534</v>
      </c>
      <c r="E39" s="228">
        <v>0</v>
      </c>
      <c r="F39" s="84">
        <f t="shared" si="0"/>
        <v>-7534</v>
      </c>
      <c r="H39" s="11"/>
    </row>
    <row r="40" spans="2:8">
      <c r="B40" s="9" t="s">
        <v>264</v>
      </c>
      <c r="C40" t="s">
        <v>1775</v>
      </c>
      <c r="D40" s="228">
        <f>-234+5650</f>
        <v>5416</v>
      </c>
      <c r="E40" s="228">
        <v>0</v>
      </c>
      <c r="F40" s="84">
        <f t="shared" si="0"/>
        <v>5416</v>
      </c>
      <c r="H40" s="11"/>
    </row>
    <row r="41" spans="2:8">
      <c r="B41" s="9" t="s">
        <v>265</v>
      </c>
      <c r="C41" t="s">
        <v>1837</v>
      </c>
      <c r="D41" s="228">
        <f>7990+1956931+800+25</f>
        <v>1965746</v>
      </c>
      <c r="E41" s="228">
        <v>181046.30999999997</v>
      </c>
      <c r="F41" s="84">
        <f t="shared" si="0"/>
        <v>1784699.69</v>
      </c>
      <c r="H41" s="11"/>
    </row>
    <row r="42" spans="2:8">
      <c r="B42" s="9" t="s">
        <v>266</v>
      </c>
      <c r="C42" t="s">
        <v>1838</v>
      </c>
      <c r="D42" s="228">
        <f>-72-278</f>
        <v>-350</v>
      </c>
      <c r="E42" s="228">
        <v>0</v>
      </c>
      <c r="F42" s="84">
        <f t="shared" si="0"/>
        <v>-350</v>
      </c>
      <c r="H42" s="11"/>
    </row>
    <row r="43" spans="2:8">
      <c r="B43" s="9" t="s">
        <v>267</v>
      </c>
      <c r="C43" t="s">
        <v>1839</v>
      </c>
      <c r="D43" s="228">
        <v>3793589</v>
      </c>
      <c r="E43" s="228">
        <v>1575022.1400000001</v>
      </c>
      <c r="F43" s="277">
        <f>+D43-E43</f>
        <v>2218566.86</v>
      </c>
      <c r="H43" s="11"/>
    </row>
    <row r="44" spans="2:8">
      <c r="B44" s="9"/>
      <c r="D44" s="590">
        <f>SUM(D37:D43)</f>
        <v>10842520</v>
      </c>
      <c r="E44" s="590">
        <f>SUM(E37:E43)</f>
        <v>1756068.4500000002</v>
      </c>
      <c r="F44" s="26">
        <f>SUM(F37:F43)</f>
        <v>9086451.5499999989</v>
      </c>
      <c r="H44" s="11"/>
    </row>
    <row r="45" spans="2:8">
      <c r="B45" s="24"/>
      <c r="D45" s="26"/>
      <c r="E45" s="278" t="s">
        <v>756</v>
      </c>
      <c r="H45" s="11"/>
    </row>
    <row r="46" spans="2:8" ht="15.75" thickBot="1">
      <c r="B46" s="20" t="s">
        <v>268</v>
      </c>
      <c r="C46" t="s">
        <v>269</v>
      </c>
      <c r="D46" s="29">
        <f>+D44+D23+D15</f>
        <v>49008458</v>
      </c>
      <c r="H46" s="11"/>
    </row>
    <row r="47" spans="2:8" ht="15.75" thickTop="1">
      <c r="B47" s="24"/>
      <c r="D47" s="26"/>
      <c r="H47" s="11"/>
    </row>
    <row r="48" spans="2:8" ht="15.75" thickBot="1">
      <c r="B48" s="38"/>
      <c r="C48" s="15"/>
      <c r="D48" s="39"/>
      <c r="E48" s="15"/>
      <c r="F48" s="15"/>
      <c r="G48" s="15"/>
      <c r="H48" s="17"/>
    </row>
    <row r="49" spans="2:8">
      <c r="B49" s="25"/>
      <c r="D49" s="27"/>
    </row>
    <row r="50" spans="2:8">
      <c r="B50" t="s">
        <v>1397</v>
      </c>
      <c r="D50" s="27"/>
    </row>
    <row r="51" spans="2:8">
      <c r="B51" t="s">
        <v>769</v>
      </c>
      <c r="D51" s="27"/>
    </row>
    <row r="52" spans="2:8" ht="15.75" thickBot="1">
      <c r="B52" s="25"/>
      <c r="D52" s="27"/>
    </row>
    <row r="53" spans="2:8">
      <c r="B53" s="102"/>
      <c r="C53" s="6"/>
      <c r="D53" s="103"/>
      <c r="E53" s="6"/>
      <c r="F53" s="6"/>
      <c r="G53" s="6"/>
      <c r="H53" s="8"/>
    </row>
    <row r="54" spans="2:8">
      <c r="B54" s="24"/>
      <c r="D54" s="10" t="s">
        <v>55</v>
      </c>
      <c r="E54" t="s">
        <v>698</v>
      </c>
      <c r="F54" t="s">
        <v>699</v>
      </c>
      <c r="G54" t="s">
        <v>157</v>
      </c>
      <c r="H54" s="11"/>
    </row>
    <row r="55" spans="2:8">
      <c r="B55" s="20" t="s">
        <v>770</v>
      </c>
      <c r="C55" t="s">
        <v>211</v>
      </c>
      <c r="D55" s="27">
        <f>'Schedule 9 O&amp;M'!D55</f>
        <v>4265972</v>
      </c>
      <c r="E55" s="84">
        <v>3085001.160565</v>
      </c>
      <c r="F55" s="84">
        <v>1224099.7953249998</v>
      </c>
      <c r="G55" s="84">
        <f>D55-E55-F55</f>
        <v>-43128.955889999866</v>
      </c>
      <c r="H55" s="11"/>
    </row>
    <row r="56" spans="2:8">
      <c r="B56" s="9"/>
      <c r="C56" t="s">
        <v>59</v>
      </c>
      <c r="D56" s="27"/>
      <c r="E56" s="19">
        <f>+D16</f>
        <v>7.6899999999999996E-2</v>
      </c>
      <c r="F56" s="10"/>
      <c r="G56" s="10"/>
      <c r="H56" s="11"/>
    </row>
    <row r="57" spans="2:8">
      <c r="B57" s="9"/>
      <c r="C57" t="s">
        <v>255</v>
      </c>
      <c r="D57" s="27"/>
      <c r="E57" s="85"/>
      <c r="F57" s="340">
        <f>+D24</f>
        <v>0.2646</v>
      </c>
      <c r="G57" s="85"/>
      <c r="H57" s="11"/>
    </row>
    <row r="58" spans="2:8">
      <c r="B58" s="20" t="s">
        <v>705</v>
      </c>
      <c r="D58" s="27">
        <f>SUM(E58:G58)</f>
        <v>561133.39509044343</v>
      </c>
      <c r="E58" s="10">
        <f>+E55*E56</f>
        <v>237236.58924744849</v>
      </c>
      <c r="F58" s="10">
        <f>+F55*F57</f>
        <v>323896.80584299495</v>
      </c>
      <c r="G58" s="10"/>
      <c r="H58" s="11"/>
    </row>
    <row r="59" spans="2:8">
      <c r="B59" s="9"/>
      <c r="D59" s="27"/>
      <c r="H59" s="11"/>
    </row>
    <row r="60" spans="2:8" ht="15.75" thickBot="1">
      <c r="B60" s="14"/>
      <c r="C60" s="15"/>
      <c r="D60" s="15"/>
      <c r="E60" s="15"/>
      <c r="F60" s="15"/>
      <c r="G60" s="15"/>
      <c r="H60" s="17"/>
    </row>
  </sheetData>
  <mergeCells count="1">
    <mergeCell ref="B4:G4"/>
  </mergeCells>
  <pageMargins left="0.7" right="0.7" top="0.3" bottom="0.3" header="0.3" footer="0.3"/>
  <pageSetup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8"/>
  <sheetViews>
    <sheetView topLeftCell="A17" workbookViewId="0">
      <selection activeCell="G43" sqref="G43"/>
    </sheetView>
  </sheetViews>
  <sheetFormatPr defaultColWidth="9.140625" defaultRowHeight="15"/>
  <cols>
    <col min="1" max="1" width="9.140625" style="41"/>
    <col min="2" max="2" width="61.42578125" style="41" customWidth="1"/>
    <col min="3" max="3" width="38.28515625" style="41" customWidth="1"/>
    <col min="4" max="4" width="17.42578125" style="41" bestFit="1" customWidth="1"/>
    <col min="5" max="5" width="17" style="43" customWidth="1"/>
    <col min="6" max="6" width="15.7109375" style="41" customWidth="1"/>
    <col min="7" max="7" width="40.7109375" style="41" customWidth="1"/>
    <col min="8" max="12" width="15.7109375" style="41" customWidth="1"/>
    <col min="13" max="16384" width="9.140625" style="41"/>
  </cols>
  <sheetData>
    <row r="1" spans="1:7">
      <c r="A1" s="40" t="s">
        <v>0</v>
      </c>
      <c r="E1" s="41"/>
    </row>
    <row r="2" spans="1:7">
      <c r="A2" s="40" t="s">
        <v>324</v>
      </c>
      <c r="E2" s="41"/>
    </row>
    <row r="3" spans="1:7">
      <c r="A3" s="40"/>
      <c r="E3" s="41"/>
    </row>
    <row r="4" spans="1:7">
      <c r="A4" s="40"/>
      <c r="E4" s="41"/>
    </row>
    <row r="5" spans="1:7">
      <c r="A5" s="40"/>
      <c r="E5" s="41"/>
    </row>
    <row r="6" spans="1:7">
      <c r="A6" s="40"/>
    </row>
    <row r="7" spans="1:7" ht="15.75" thickBot="1"/>
    <row r="8" spans="1:7" s="42" customFormat="1" ht="30">
      <c r="B8" s="58" t="s">
        <v>346</v>
      </c>
      <c r="C8" s="49" t="s">
        <v>326</v>
      </c>
      <c r="D8" s="482">
        <v>2024</v>
      </c>
      <c r="E8" s="50" t="s">
        <v>282</v>
      </c>
      <c r="F8" s="49" t="s">
        <v>283</v>
      </c>
      <c r="G8" s="55" t="s">
        <v>5</v>
      </c>
    </row>
    <row r="9" spans="1:7">
      <c r="B9" s="51"/>
      <c r="G9" s="52"/>
    </row>
    <row r="10" spans="1:7">
      <c r="B10" s="51" t="s">
        <v>310</v>
      </c>
      <c r="C10" s="41" t="s">
        <v>332</v>
      </c>
      <c r="D10" s="249">
        <v>2755449.7998500238</v>
      </c>
      <c r="E10" s="43">
        <f>F10/D10</f>
        <v>0.33124292812363287</v>
      </c>
      <c r="F10" s="249">
        <v>912723.26</v>
      </c>
      <c r="G10" s="52"/>
    </row>
    <row r="11" spans="1:7">
      <c r="B11" s="51" t="s">
        <v>308</v>
      </c>
      <c r="C11" s="41" t="s">
        <v>332</v>
      </c>
      <c r="D11" s="249">
        <v>0</v>
      </c>
      <c r="E11" s="43">
        <v>0</v>
      </c>
      <c r="F11" s="249">
        <v>0</v>
      </c>
      <c r="G11" s="52"/>
    </row>
    <row r="12" spans="1:7">
      <c r="B12" s="51" t="s">
        <v>307</v>
      </c>
      <c r="C12" s="41" t="s">
        <v>332</v>
      </c>
      <c r="D12" s="249">
        <v>335532.50916467526</v>
      </c>
      <c r="E12" s="43">
        <f t="shared" ref="E12:E27" si="0">F12/D12</f>
        <v>0</v>
      </c>
      <c r="F12" s="249">
        <v>0</v>
      </c>
      <c r="G12" s="52"/>
    </row>
    <row r="13" spans="1:7">
      <c r="B13" s="51" t="s">
        <v>309</v>
      </c>
      <c r="C13" s="41" t="s">
        <v>332</v>
      </c>
      <c r="D13" s="249">
        <v>0</v>
      </c>
      <c r="E13" s="43">
        <v>0</v>
      </c>
      <c r="F13" s="249">
        <v>0</v>
      </c>
      <c r="G13" s="442"/>
    </row>
    <row r="14" spans="1:7">
      <c r="B14" s="51" t="s">
        <v>340</v>
      </c>
      <c r="C14" s="41" t="s">
        <v>332</v>
      </c>
      <c r="D14" s="249">
        <v>-537812.07999999996</v>
      </c>
      <c r="E14" s="43">
        <f t="shared" si="0"/>
        <v>-0.29570535120743291</v>
      </c>
      <c r="F14" s="249">
        <v>159033.91</v>
      </c>
      <c r="G14" s="52"/>
    </row>
    <row r="15" spans="1:7">
      <c r="B15" s="51" t="s">
        <v>311</v>
      </c>
      <c r="C15" s="41" t="s">
        <v>334</v>
      </c>
      <c r="D15" s="249">
        <v>336569</v>
      </c>
      <c r="E15" s="43">
        <f t="shared" si="0"/>
        <v>0.23993959633834369</v>
      </c>
      <c r="F15" s="249">
        <v>80756.23</v>
      </c>
      <c r="G15" s="52"/>
    </row>
    <row r="16" spans="1:7">
      <c r="B16" s="51" t="s">
        <v>312</v>
      </c>
      <c r="C16" s="41" t="s">
        <v>334</v>
      </c>
      <c r="D16" s="249">
        <v>-39828</v>
      </c>
      <c r="E16" s="43">
        <f t="shared" si="0"/>
        <v>0</v>
      </c>
      <c r="F16" s="249">
        <v>0</v>
      </c>
      <c r="G16" s="52"/>
    </row>
    <row r="17" spans="2:8">
      <c r="B17" s="51" t="s">
        <v>335</v>
      </c>
      <c r="C17" s="41" t="s">
        <v>334</v>
      </c>
      <c r="D17" s="249">
        <v>0</v>
      </c>
      <c r="E17" s="43">
        <v>0</v>
      </c>
      <c r="F17" s="249">
        <v>0</v>
      </c>
      <c r="G17" s="442"/>
    </row>
    <row r="18" spans="2:8">
      <c r="B18" s="51" t="s">
        <v>313</v>
      </c>
      <c r="C18" s="41" t="s">
        <v>332</v>
      </c>
      <c r="D18" s="249">
        <v>-13042685.609999999</v>
      </c>
      <c r="E18" s="43">
        <f t="shared" si="0"/>
        <v>0.3535184162121347</v>
      </c>
      <c r="F18" s="249">
        <v>-4610829.5599999996</v>
      </c>
      <c r="G18" s="52"/>
    </row>
    <row r="19" spans="2:8">
      <c r="B19" s="51" t="s">
        <v>344</v>
      </c>
      <c r="C19" s="41" t="s">
        <v>334</v>
      </c>
      <c r="D19" s="249">
        <v>17694</v>
      </c>
      <c r="E19" s="43">
        <f t="shared" si="0"/>
        <v>8.6066463207867067E-2</v>
      </c>
      <c r="F19" s="249">
        <v>1522.86</v>
      </c>
      <c r="G19" s="52"/>
    </row>
    <row r="20" spans="2:8">
      <c r="B20" s="51" t="s">
        <v>341</v>
      </c>
      <c r="C20" s="41" t="s">
        <v>332</v>
      </c>
      <c r="D20" s="249">
        <v>0</v>
      </c>
      <c r="E20" s="43">
        <v>0</v>
      </c>
      <c r="F20" s="249">
        <v>0</v>
      </c>
      <c r="G20" s="442"/>
    </row>
    <row r="21" spans="2:8">
      <c r="B21" s="51" t="s">
        <v>342</v>
      </c>
      <c r="C21" s="41" t="s">
        <v>334</v>
      </c>
      <c r="D21" s="249">
        <v>-1217770</v>
      </c>
      <c r="E21" s="43">
        <f t="shared" si="0"/>
        <v>0</v>
      </c>
      <c r="F21" s="249">
        <v>0</v>
      </c>
      <c r="G21" s="52"/>
    </row>
    <row r="22" spans="2:8">
      <c r="B22" s="51" t="s">
        <v>343</v>
      </c>
      <c r="C22" s="41" t="s">
        <v>334</v>
      </c>
      <c r="D22" s="249">
        <v>0</v>
      </c>
      <c r="E22" s="43">
        <v>0</v>
      </c>
      <c r="F22" s="249">
        <v>0</v>
      </c>
      <c r="G22" s="52"/>
    </row>
    <row r="23" spans="2:8">
      <c r="B23" s="51" t="s">
        <v>345</v>
      </c>
      <c r="C23" s="41" t="s">
        <v>332</v>
      </c>
      <c r="D23" s="249">
        <v>-481443.79</v>
      </c>
      <c r="E23" s="43">
        <f t="shared" si="0"/>
        <v>0</v>
      </c>
      <c r="F23" s="249">
        <v>0</v>
      </c>
      <c r="G23" s="52"/>
    </row>
    <row r="24" spans="2:8">
      <c r="B24" s="51" t="s">
        <v>888</v>
      </c>
      <c r="C24" s="41" t="s">
        <v>332</v>
      </c>
      <c r="D24" s="249">
        <v>0</v>
      </c>
      <c r="E24" s="43">
        <v>0</v>
      </c>
      <c r="F24" s="249">
        <v>0</v>
      </c>
      <c r="G24" s="52"/>
    </row>
    <row r="25" spans="2:8">
      <c r="B25" s="51" t="s">
        <v>1651</v>
      </c>
      <c r="C25" s="41" t="s">
        <v>332</v>
      </c>
      <c r="D25" s="249">
        <v>0</v>
      </c>
      <c r="E25" s="43">
        <v>0</v>
      </c>
      <c r="F25" s="249">
        <v>0</v>
      </c>
      <c r="G25" s="442"/>
    </row>
    <row r="26" spans="2:8">
      <c r="B26" s="51" t="s">
        <v>314</v>
      </c>
      <c r="C26" s="41" t="s">
        <v>332</v>
      </c>
      <c r="D26" s="249">
        <v>0</v>
      </c>
      <c r="E26" s="43">
        <v>0</v>
      </c>
      <c r="F26" s="249">
        <v>0</v>
      </c>
      <c r="G26" s="52" t="s">
        <v>1174</v>
      </c>
      <c r="H26" s="311"/>
    </row>
    <row r="27" spans="2:8">
      <c r="B27" s="51" t="s">
        <v>892</v>
      </c>
      <c r="C27" s="41" t="s">
        <v>332</v>
      </c>
      <c r="D27" s="249">
        <v>-638871</v>
      </c>
      <c r="E27" s="43">
        <f t="shared" si="0"/>
        <v>0</v>
      </c>
      <c r="F27" s="249">
        <v>0</v>
      </c>
      <c r="G27" s="52"/>
    </row>
    <row r="28" spans="2:8">
      <c r="B28" s="51" t="s">
        <v>1652</v>
      </c>
      <c r="C28" s="41" t="s">
        <v>332</v>
      </c>
      <c r="D28" s="249">
        <v>0</v>
      </c>
      <c r="E28" s="43">
        <v>0</v>
      </c>
      <c r="F28" s="249">
        <v>0</v>
      </c>
      <c r="G28" s="442"/>
    </row>
    <row r="29" spans="2:8">
      <c r="B29" s="51"/>
      <c r="G29" s="52"/>
    </row>
    <row r="30" spans="2:8" s="40" customFormat="1" ht="15.75" thickBot="1">
      <c r="B30" s="59" t="s">
        <v>347</v>
      </c>
      <c r="C30" s="60"/>
      <c r="D30" s="60">
        <f>SUM(D10:D29)</f>
        <v>-12513165.1709853</v>
      </c>
      <c r="E30" s="61"/>
      <c r="F30" s="60">
        <f>SUM(F10:F29)</f>
        <v>-3456793.3</v>
      </c>
      <c r="G30" s="94" t="s">
        <v>1173</v>
      </c>
      <c r="H30" s="41"/>
    </row>
    <row r="32" spans="2:8" ht="15.75" thickBot="1"/>
    <row r="33" spans="2:9" ht="30">
      <c r="B33" s="58" t="s">
        <v>317</v>
      </c>
      <c r="C33" s="49" t="s">
        <v>326</v>
      </c>
      <c r="D33" s="482">
        <f>D8</f>
        <v>2024</v>
      </c>
      <c r="E33" s="50" t="s">
        <v>282</v>
      </c>
      <c r="F33" s="49" t="s">
        <v>283</v>
      </c>
      <c r="G33" s="55" t="s">
        <v>5</v>
      </c>
    </row>
    <row r="34" spans="2:9">
      <c r="B34" s="51"/>
      <c r="G34" s="52"/>
    </row>
    <row r="35" spans="2:9">
      <c r="B35" s="51" t="s">
        <v>1448</v>
      </c>
      <c r="C35" s="41" t="s">
        <v>332</v>
      </c>
      <c r="D35" s="249">
        <v>-6147</v>
      </c>
      <c r="E35" s="43">
        <f>+F35/D35</f>
        <v>7.6460061818773392E-2</v>
      </c>
      <c r="F35" s="249">
        <v>-470</v>
      </c>
      <c r="G35" s="52"/>
    </row>
    <row r="36" spans="2:9">
      <c r="B36" s="51" t="s">
        <v>1585</v>
      </c>
      <c r="C36" s="41" t="s">
        <v>332</v>
      </c>
      <c r="D36" s="249">
        <v>-43522.888888888891</v>
      </c>
      <c r="E36" s="43">
        <f>+F36/D36</f>
        <v>-8.1585503413274234E-3</v>
      </c>
      <c r="F36" s="249">
        <v>355.08367999999996</v>
      </c>
      <c r="G36" s="52"/>
    </row>
    <row r="37" spans="2:9">
      <c r="B37" s="51" t="s">
        <v>1449</v>
      </c>
      <c r="C37" s="41" t="s">
        <v>332</v>
      </c>
      <c r="D37" s="249">
        <v>0</v>
      </c>
      <c r="E37" s="43">
        <v>0</v>
      </c>
      <c r="F37" s="249">
        <v>0</v>
      </c>
      <c r="G37" s="52"/>
      <c r="H37" s="311"/>
      <c r="I37" s="591"/>
    </row>
    <row r="38" spans="2:9">
      <c r="B38" s="51" t="s">
        <v>1586</v>
      </c>
      <c r="C38" s="41" t="s">
        <v>1583</v>
      </c>
      <c r="D38" s="577">
        <f>'Schedule 14 ADIT'!AE71</f>
        <v>-20749715.488894984</v>
      </c>
      <c r="E38" s="616"/>
      <c r="F38" s="577">
        <f>'Schedule 14 ADIT'!AJ71</f>
        <v>-2372164.5943106818</v>
      </c>
      <c r="G38" s="52"/>
    </row>
    <row r="39" spans="2:9">
      <c r="B39" s="51"/>
      <c r="D39" s="73"/>
      <c r="E39" s="187"/>
      <c r="F39" s="73"/>
      <c r="G39" s="52"/>
    </row>
    <row r="40" spans="2:9">
      <c r="B40" s="51"/>
      <c r="G40" s="52"/>
    </row>
    <row r="41" spans="2:9" s="40" customFormat="1" ht="15.75" thickBot="1">
      <c r="B41" s="59" t="s">
        <v>316</v>
      </c>
      <c r="C41" s="60"/>
      <c r="D41" s="60">
        <f>SUM(D34:D40)</f>
        <v>-20799385.377783872</v>
      </c>
      <c r="E41" s="61"/>
      <c r="F41" s="60">
        <f>SUM(F34:F40)</f>
        <v>-2372279.5106306816</v>
      </c>
      <c r="G41" s="94" t="s">
        <v>610</v>
      </c>
      <c r="H41" s="41"/>
    </row>
    <row r="42" spans="2:9">
      <c r="B42" s="63"/>
      <c r="C42" s="63"/>
      <c r="D42" s="63"/>
      <c r="E42" s="64"/>
      <c r="F42" s="63"/>
      <c r="G42" s="63"/>
    </row>
    <row r="43" spans="2:9" ht="15.75" thickBot="1">
      <c r="B43" s="53"/>
      <c r="C43" s="53"/>
      <c r="D43" s="53"/>
      <c r="E43" s="54"/>
      <c r="F43" s="53"/>
      <c r="G43" s="53"/>
    </row>
    <row r="44" spans="2:9" ht="30">
      <c r="B44" s="58" t="s">
        <v>318</v>
      </c>
      <c r="C44" s="49" t="s">
        <v>326</v>
      </c>
      <c r="D44" s="482">
        <f>D8</f>
        <v>2024</v>
      </c>
      <c r="E44" s="50" t="s">
        <v>282</v>
      </c>
      <c r="F44" s="49" t="s">
        <v>283</v>
      </c>
      <c r="G44" s="55" t="s">
        <v>5</v>
      </c>
    </row>
    <row r="45" spans="2:9">
      <c r="B45" s="51"/>
      <c r="G45" s="52"/>
    </row>
    <row r="46" spans="2:9">
      <c r="B46" s="51" t="s">
        <v>319</v>
      </c>
      <c r="C46" s="41" t="s">
        <v>332</v>
      </c>
      <c r="D46" s="249">
        <v>-169592</v>
      </c>
      <c r="E46" s="43">
        <v>0</v>
      </c>
      <c r="F46" s="249">
        <v>0</v>
      </c>
      <c r="G46" s="52"/>
      <c r="H46" s="312"/>
    </row>
    <row r="47" spans="2:9">
      <c r="B47" s="51" t="s">
        <v>325</v>
      </c>
      <c r="C47" s="41" t="s">
        <v>332</v>
      </c>
      <c r="D47" s="249">
        <v>0</v>
      </c>
      <c r="E47" s="43">
        <v>1</v>
      </c>
      <c r="F47" s="249">
        <v>0</v>
      </c>
      <c r="G47" s="52"/>
      <c r="H47" s="311"/>
    </row>
    <row r="48" spans="2:9">
      <c r="B48" s="51" t="s">
        <v>320</v>
      </c>
      <c r="C48" s="41" t="s">
        <v>332</v>
      </c>
      <c r="D48" s="249">
        <v>0</v>
      </c>
      <c r="E48" s="43">
        <v>0</v>
      </c>
      <c r="F48" s="249">
        <v>0</v>
      </c>
      <c r="G48" s="52"/>
      <c r="H48" s="311"/>
    </row>
    <row r="49" spans="2:8">
      <c r="B49" s="51" t="s">
        <v>1370</v>
      </c>
      <c r="C49" s="41" t="s">
        <v>332</v>
      </c>
      <c r="D49" s="249">
        <v>0</v>
      </c>
      <c r="E49" s="43">
        <v>0</v>
      </c>
      <c r="F49" s="249">
        <v>0</v>
      </c>
      <c r="G49" s="52"/>
      <c r="H49" s="311"/>
    </row>
    <row r="50" spans="2:8">
      <c r="B50" s="51"/>
      <c r="G50" s="52"/>
    </row>
    <row r="51" spans="2:8" s="40" customFormat="1" ht="15.75" thickBot="1">
      <c r="B51" s="59" t="s">
        <v>321</v>
      </c>
      <c r="C51" s="60" t="s">
        <v>336</v>
      </c>
      <c r="D51" s="60">
        <f>SUM(D45:D50)</f>
        <v>-169592</v>
      </c>
      <c r="E51" s="61"/>
      <c r="F51" s="60">
        <f>SUM(F45:F50)</f>
        <v>0</v>
      </c>
      <c r="G51" s="94" t="s">
        <v>1175</v>
      </c>
      <c r="H51" s="41"/>
    </row>
    <row r="58" spans="2:8">
      <c r="B58" s="40"/>
      <c r="C58" s="40"/>
    </row>
  </sheetData>
  <pageMargins left="0.7" right="0.7" top="0.75" bottom="0.75" header="0.3" footer="0.3"/>
  <pageSetup scale="6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5"/>
  <sheetViews>
    <sheetView workbookViewId="0">
      <selection activeCell="H26" sqref="H26"/>
    </sheetView>
  </sheetViews>
  <sheetFormatPr defaultRowHeight="15"/>
  <cols>
    <col min="1" max="1" width="6.140625" customWidth="1"/>
    <col min="2" max="2" width="47.140625" bestFit="1" customWidth="1"/>
    <col min="3" max="3" width="42.7109375" bestFit="1" customWidth="1"/>
    <col min="4" max="4" width="31.7109375" customWidth="1"/>
    <col min="5" max="5" width="23.140625" bestFit="1" customWidth="1"/>
  </cols>
  <sheetData>
    <row r="1" spans="1:6">
      <c r="A1" s="40" t="s">
        <v>0</v>
      </c>
    </row>
    <row r="2" spans="1:6">
      <c r="A2" s="40" t="s">
        <v>497</v>
      </c>
    </row>
    <row r="3" spans="1:6">
      <c r="A3" s="40"/>
    </row>
    <row r="4" spans="1:6">
      <c r="A4" s="40"/>
    </row>
    <row r="5" spans="1:6" ht="15.75" thickBot="1"/>
    <row r="6" spans="1:6">
      <c r="B6" s="21"/>
      <c r="C6" s="6"/>
      <c r="D6" s="6"/>
      <c r="E6" s="6"/>
      <c r="F6" s="8"/>
    </row>
    <row r="7" spans="1:6">
      <c r="B7" s="9"/>
      <c r="C7" s="1" t="s">
        <v>11</v>
      </c>
      <c r="D7" s="12" t="s">
        <v>500</v>
      </c>
      <c r="E7" s="1"/>
      <c r="F7" s="11"/>
    </row>
    <row r="8" spans="1:6">
      <c r="B8" s="75" t="s">
        <v>620</v>
      </c>
      <c r="C8" t="s">
        <v>529</v>
      </c>
      <c r="D8" s="73">
        <f>+'Schedule12A FERC p328'!Z275</f>
        <v>2403156.4499999993</v>
      </c>
      <c r="E8" t="s">
        <v>706</v>
      </c>
      <c r="F8" s="11"/>
    </row>
    <row r="9" spans="1:6">
      <c r="B9" s="75"/>
      <c r="D9" s="10"/>
      <c r="F9" s="11"/>
    </row>
    <row r="10" spans="1:6">
      <c r="B10" s="75" t="s">
        <v>621</v>
      </c>
      <c r="C10" t="s">
        <v>529</v>
      </c>
      <c r="D10" s="73">
        <f>+'Schedule12A FERC p328'!AA275</f>
        <v>4143038.9299999983</v>
      </c>
      <c r="E10" t="s">
        <v>618</v>
      </c>
      <c r="F10" s="11"/>
    </row>
    <row r="11" spans="1:6">
      <c r="B11" s="75" t="s">
        <v>622</v>
      </c>
      <c r="C11" t="s">
        <v>529</v>
      </c>
      <c r="D11" s="73">
        <f>+'Schedule12A FERC p328'!AA278</f>
        <v>0</v>
      </c>
      <c r="E11" t="s">
        <v>619</v>
      </c>
      <c r="F11" s="11"/>
    </row>
    <row r="12" spans="1:6">
      <c r="B12" s="75" t="s">
        <v>708</v>
      </c>
      <c r="C12" t="s">
        <v>529</v>
      </c>
      <c r="D12" s="73">
        <f>+D10+D11</f>
        <v>4143038.9299999983</v>
      </c>
      <c r="F12" s="11"/>
    </row>
    <row r="13" spans="1:6">
      <c r="B13" s="75"/>
      <c r="D13" s="73"/>
      <c r="F13" s="11"/>
    </row>
    <row r="14" spans="1:6">
      <c r="B14" s="75" t="s">
        <v>525</v>
      </c>
      <c r="C14" t="s">
        <v>529</v>
      </c>
      <c r="D14" s="73">
        <f>+'Schedule12A FERC p328'!AB275</f>
        <v>0</v>
      </c>
      <c r="E14" t="s">
        <v>623</v>
      </c>
      <c r="F14" s="11"/>
    </row>
    <row r="15" spans="1:6" ht="15.75" thickBot="1">
      <c r="B15" s="14"/>
      <c r="C15" s="15"/>
      <c r="D15" s="16"/>
      <c r="E15" s="15"/>
      <c r="F15" s="17"/>
    </row>
    <row r="16" spans="1:6">
      <c r="D16" s="3"/>
    </row>
    <row r="17" spans="2:6">
      <c r="D17" s="3"/>
    </row>
    <row r="18" spans="2:6" ht="15.75" thickBot="1">
      <c r="D18" s="3"/>
    </row>
    <row r="19" spans="2:6">
      <c r="B19" s="5" t="s">
        <v>498</v>
      </c>
      <c r="C19" s="6"/>
      <c r="D19" s="7"/>
      <c r="E19" s="6"/>
      <c r="F19" s="8"/>
    </row>
    <row r="20" spans="2:6">
      <c r="B20" s="9"/>
      <c r="C20" s="1" t="s">
        <v>11</v>
      </c>
      <c r="D20" s="13" t="s">
        <v>499</v>
      </c>
      <c r="F20" s="11"/>
    </row>
    <row r="21" spans="2:6">
      <c r="B21" s="9" t="s">
        <v>494</v>
      </c>
      <c r="C21" t="s">
        <v>493</v>
      </c>
      <c r="D21" s="106">
        <v>489316.59999999992</v>
      </c>
      <c r="E21" t="s">
        <v>1176</v>
      </c>
      <c r="F21" s="11"/>
    </row>
    <row r="22" spans="2:6">
      <c r="B22" s="9" t="s">
        <v>495</v>
      </c>
      <c r="C22" t="s">
        <v>493</v>
      </c>
      <c r="D22" s="107">
        <v>3147748.1599999992</v>
      </c>
      <c r="F22" s="11"/>
    </row>
    <row r="23" spans="2:6">
      <c r="B23" s="9" t="s">
        <v>771</v>
      </c>
      <c r="C23" t="s">
        <v>496</v>
      </c>
      <c r="D23" s="10">
        <f>SUM(D21:D22)</f>
        <v>3637064.7599999993</v>
      </c>
      <c r="F23" s="11"/>
    </row>
    <row r="24" spans="2:6">
      <c r="B24" s="9"/>
      <c r="D24" s="10"/>
      <c r="F24" s="11"/>
    </row>
    <row r="25" spans="2:6" ht="15.75" thickBot="1">
      <c r="B25" s="14"/>
      <c r="C25" s="15"/>
      <c r="D25" s="15"/>
      <c r="E25" s="15"/>
      <c r="F25" s="17"/>
    </row>
  </sheetData>
  <pageMargins left="0.7" right="0.7" top="0.75" bottom="0.75" header="0.3" footer="0.3"/>
  <pageSetup scale="7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78798-B6A4-4AFE-894F-B04FFCE9D98E}">
  <dimension ref="A1:AH280"/>
  <sheetViews>
    <sheetView workbookViewId="0">
      <selection activeCell="K263" sqref="K263"/>
    </sheetView>
  </sheetViews>
  <sheetFormatPr defaultRowHeight="12.75"/>
  <cols>
    <col min="1" max="1" width="13" style="227" customWidth="1"/>
    <col min="2" max="2" width="10.5703125" style="227" customWidth="1"/>
    <col min="3" max="3" width="10.140625" style="227" hidden="1" customWidth="1"/>
    <col min="4" max="4" width="14.42578125" style="227" hidden="1" customWidth="1"/>
    <col min="5" max="5" width="11.5703125" style="227" hidden="1" customWidth="1"/>
    <col min="6" max="6" width="10.85546875" style="227" hidden="1" customWidth="1"/>
    <col min="7" max="7" width="37.28515625" style="227" customWidth="1"/>
    <col min="8" max="8" width="28.5703125" style="227" customWidth="1"/>
    <col min="9" max="9" width="29.140625" style="227" customWidth="1"/>
    <col min="10" max="10" width="9" style="227" customWidth="1"/>
    <col min="11" max="11" width="15" style="227" customWidth="1"/>
    <col min="12" max="12" width="13.85546875" style="227" customWidth="1"/>
    <col min="13" max="13" width="18" style="227" customWidth="1"/>
    <col min="14" max="14" width="10" style="77" customWidth="1"/>
    <col min="15" max="16" width="14.7109375" style="77" bestFit="1" customWidth="1"/>
    <col min="17" max="17" width="15.140625" style="77" bestFit="1" customWidth="1"/>
    <col min="18" max="18" width="13.42578125" style="77" bestFit="1" customWidth="1"/>
    <col min="19" max="19" width="14.140625" style="77" bestFit="1" customWidth="1"/>
    <col min="20" max="20" width="15.140625" style="77" bestFit="1" customWidth="1"/>
    <col min="21" max="21" width="30" style="227" bestFit="1" customWidth="1"/>
    <col min="22" max="22" width="15" style="227" bestFit="1" customWidth="1"/>
    <col min="23" max="23" width="13.140625" style="227" bestFit="1" customWidth="1"/>
    <col min="24" max="24" width="12.140625" style="227" customWidth="1"/>
    <col min="25" max="26" width="15.85546875" style="227" bestFit="1" customWidth="1"/>
    <col min="27" max="29" width="15.85546875" style="227" customWidth="1"/>
    <col min="30" max="30" width="14.140625" style="227" bestFit="1" customWidth="1"/>
    <col min="31" max="31" width="16.5703125" style="227" customWidth="1"/>
    <col min="32" max="32" width="17.140625" style="227" customWidth="1"/>
    <col min="33" max="33" width="14.7109375" style="227" bestFit="1" customWidth="1"/>
    <col min="34" max="34" width="9.140625" style="227" customWidth="1"/>
    <col min="35" max="211" width="9.140625" style="227"/>
    <col min="212" max="212" width="13.28515625" style="227" bestFit="1" customWidth="1"/>
    <col min="213" max="213" width="10.140625" style="227" customWidth="1"/>
    <col min="214" max="214" width="14.42578125" style="227" customWidth="1"/>
    <col min="215" max="215" width="11.5703125" style="227" customWidth="1"/>
    <col min="216" max="216" width="10.85546875" style="227" customWidth="1"/>
    <col min="217" max="217" width="31.7109375" style="227" bestFit="1" customWidth="1"/>
    <col min="218" max="218" width="28.5703125" style="227" customWidth="1"/>
    <col min="219" max="219" width="29.140625" style="227" customWidth="1"/>
    <col min="220" max="220" width="16" style="227" bestFit="1" customWidth="1"/>
    <col min="221" max="221" width="15" style="227" customWidth="1"/>
    <col min="222" max="222" width="13.85546875" style="227" customWidth="1"/>
    <col min="223" max="223" width="16.85546875" style="227" customWidth="1"/>
    <col min="224" max="224" width="15.7109375" style="227" bestFit="1" customWidth="1"/>
    <col min="225" max="226" width="12.28515625" style="227" bestFit="1" customWidth="1"/>
    <col min="227" max="227" width="15.5703125" style="227" bestFit="1" customWidth="1"/>
    <col min="228" max="228" width="13.42578125" style="227" bestFit="1" customWidth="1"/>
    <col min="229" max="229" width="14" style="227" bestFit="1" customWidth="1"/>
    <col min="230" max="230" width="13.7109375" style="227" bestFit="1" customWidth="1"/>
    <col min="231" max="231" width="15.85546875" style="227" bestFit="1" customWidth="1"/>
    <col min="232" max="235" width="15.85546875" style="227" customWidth="1"/>
    <col min="236" max="236" width="12.42578125" style="227" bestFit="1" customWidth="1"/>
    <col min="237" max="239" width="12.42578125" style="227" customWidth="1"/>
    <col min="240" max="240" width="15.85546875" style="227" bestFit="1" customWidth="1"/>
    <col min="241" max="241" width="24.28515625" style="227" bestFit="1" customWidth="1"/>
    <col min="242" max="242" width="13.42578125" style="227" bestFit="1" customWidth="1"/>
    <col min="243" max="467" width="9.140625" style="227"/>
    <col min="468" max="468" width="13.28515625" style="227" bestFit="1" customWidth="1"/>
    <col min="469" max="469" width="10.140625" style="227" customWidth="1"/>
    <col min="470" max="470" width="14.42578125" style="227" customWidth="1"/>
    <col min="471" max="471" width="11.5703125" style="227" customWidth="1"/>
    <col min="472" max="472" width="10.85546875" style="227" customWidth="1"/>
    <col min="473" max="473" width="31.7109375" style="227" bestFit="1" customWidth="1"/>
    <col min="474" max="474" width="28.5703125" style="227" customWidth="1"/>
    <col min="475" max="475" width="29.140625" style="227" customWidth="1"/>
    <col min="476" max="476" width="16" style="227" bestFit="1" customWidth="1"/>
    <col min="477" max="477" width="15" style="227" customWidth="1"/>
    <col min="478" max="478" width="13.85546875" style="227" customWidth="1"/>
    <col min="479" max="479" width="16.85546875" style="227" customWidth="1"/>
    <col min="480" max="480" width="15.7109375" style="227" bestFit="1" customWidth="1"/>
    <col min="481" max="482" width="12.28515625" style="227" bestFit="1" customWidth="1"/>
    <col min="483" max="483" width="15.5703125" style="227" bestFit="1" customWidth="1"/>
    <col min="484" max="484" width="13.42578125" style="227" bestFit="1" customWidth="1"/>
    <col min="485" max="485" width="14" style="227" bestFit="1" customWidth="1"/>
    <col min="486" max="486" width="13.7109375" style="227" bestFit="1" customWidth="1"/>
    <col min="487" max="487" width="15.85546875" style="227" bestFit="1" customWidth="1"/>
    <col min="488" max="491" width="15.85546875" style="227" customWidth="1"/>
    <col min="492" max="492" width="12.42578125" style="227" bestFit="1" customWidth="1"/>
    <col min="493" max="495" width="12.42578125" style="227" customWidth="1"/>
    <col min="496" max="496" width="15.85546875" style="227" bestFit="1" customWidth="1"/>
    <col min="497" max="497" width="24.28515625" style="227" bestFit="1" customWidth="1"/>
    <col min="498" max="498" width="13.42578125" style="227" bestFit="1" customWidth="1"/>
    <col min="499" max="723" width="9.140625" style="227"/>
    <col min="724" max="724" width="13.28515625" style="227" bestFit="1" customWidth="1"/>
    <col min="725" max="725" width="10.140625" style="227" customWidth="1"/>
    <col min="726" max="726" width="14.42578125" style="227" customWidth="1"/>
    <col min="727" max="727" width="11.5703125" style="227" customWidth="1"/>
    <col min="728" max="728" width="10.85546875" style="227" customWidth="1"/>
    <col min="729" max="729" width="31.7109375" style="227" bestFit="1" customWidth="1"/>
    <col min="730" max="730" width="28.5703125" style="227" customWidth="1"/>
    <col min="731" max="731" width="29.140625" style="227" customWidth="1"/>
    <col min="732" max="732" width="16" style="227" bestFit="1" customWidth="1"/>
    <col min="733" max="733" width="15" style="227" customWidth="1"/>
    <col min="734" max="734" width="13.85546875" style="227" customWidth="1"/>
    <col min="735" max="735" width="16.85546875" style="227" customWidth="1"/>
    <col min="736" max="736" width="15.7109375" style="227" bestFit="1" customWidth="1"/>
    <col min="737" max="738" width="12.28515625" style="227" bestFit="1" customWidth="1"/>
    <col min="739" max="739" width="15.5703125" style="227" bestFit="1" customWidth="1"/>
    <col min="740" max="740" width="13.42578125" style="227" bestFit="1" customWidth="1"/>
    <col min="741" max="741" width="14" style="227" bestFit="1" customWidth="1"/>
    <col min="742" max="742" width="13.7109375" style="227" bestFit="1" customWidth="1"/>
    <col min="743" max="743" width="15.85546875" style="227" bestFit="1" customWidth="1"/>
    <col min="744" max="747" width="15.85546875" style="227" customWidth="1"/>
    <col min="748" max="748" width="12.42578125" style="227" bestFit="1" customWidth="1"/>
    <col min="749" max="751" width="12.42578125" style="227" customWidth="1"/>
    <col min="752" max="752" width="15.85546875" style="227" bestFit="1" customWidth="1"/>
    <col min="753" max="753" width="24.28515625" style="227" bestFit="1" customWidth="1"/>
    <col min="754" max="754" width="13.42578125" style="227" bestFit="1" customWidth="1"/>
    <col min="755" max="979" width="9.140625" style="227"/>
    <col min="980" max="980" width="13.28515625" style="227" bestFit="1" customWidth="1"/>
    <col min="981" max="981" width="10.140625" style="227" customWidth="1"/>
    <col min="982" max="982" width="14.42578125" style="227" customWidth="1"/>
    <col min="983" max="983" width="11.5703125" style="227" customWidth="1"/>
    <col min="984" max="984" width="10.85546875" style="227" customWidth="1"/>
    <col min="985" max="985" width="31.7109375" style="227" bestFit="1" customWidth="1"/>
    <col min="986" max="986" width="28.5703125" style="227" customWidth="1"/>
    <col min="987" max="987" width="29.140625" style="227" customWidth="1"/>
    <col min="988" max="988" width="16" style="227" bestFit="1" customWidth="1"/>
    <col min="989" max="989" width="15" style="227" customWidth="1"/>
    <col min="990" max="990" width="13.85546875" style="227" customWidth="1"/>
    <col min="991" max="991" width="16.85546875" style="227" customWidth="1"/>
    <col min="992" max="992" width="15.7109375" style="227" bestFit="1" customWidth="1"/>
    <col min="993" max="994" width="12.28515625" style="227" bestFit="1" customWidth="1"/>
    <col min="995" max="995" width="15.5703125" style="227" bestFit="1" customWidth="1"/>
    <col min="996" max="996" width="13.42578125" style="227" bestFit="1" customWidth="1"/>
    <col min="997" max="997" width="14" style="227" bestFit="1" customWidth="1"/>
    <col min="998" max="998" width="13.7109375" style="227" bestFit="1" customWidth="1"/>
    <col min="999" max="999" width="15.85546875" style="227" bestFit="1" customWidth="1"/>
    <col min="1000" max="1003" width="15.85546875" style="227" customWidth="1"/>
    <col min="1004" max="1004" width="12.42578125" style="227" bestFit="1" customWidth="1"/>
    <col min="1005" max="1007" width="12.42578125" style="227" customWidth="1"/>
    <col min="1008" max="1008" width="15.85546875" style="227" bestFit="1" customWidth="1"/>
    <col min="1009" max="1009" width="24.28515625" style="227" bestFit="1" customWidth="1"/>
    <col min="1010" max="1010" width="13.42578125" style="227" bestFit="1" customWidth="1"/>
    <col min="1011" max="1235" width="9.140625" style="227"/>
    <col min="1236" max="1236" width="13.28515625" style="227" bestFit="1" customWidth="1"/>
    <col min="1237" max="1237" width="10.140625" style="227" customWidth="1"/>
    <col min="1238" max="1238" width="14.42578125" style="227" customWidth="1"/>
    <col min="1239" max="1239" width="11.5703125" style="227" customWidth="1"/>
    <col min="1240" max="1240" width="10.85546875" style="227" customWidth="1"/>
    <col min="1241" max="1241" width="31.7109375" style="227" bestFit="1" customWidth="1"/>
    <col min="1242" max="1242" width="28.5703125" style="227" customWidth="1"/>
    <col min="1243" max="1243" width="29.140625" style="227" customWidth="1"/>
    <col min="1244" max="1244" width="16" style="227" bestFit="1" customWidth="1"/>
    <col min="1245" max="1245" width="15" style="227" customWidth="1"/>
    <col min="1246" max="1246" width="13.85546875" style="227" customWidth="1"/>
    <col min="1247" max="1247" width="16.85546875" style="227" customWidth="1"/>
    <col min="1248" max="1248" width="15.7109375" style="227" bestFit="1" customWidth="1"/>
    <col min="1249" max="1250" width="12.28515625" style="227" bestFit="1" customWidth="1"/>
    <col min="1251" max="1251" width="15.5703125" style="227" bestFit="1" customWidth="1"/>
    <col min="1252" max="1252" width="13.42578125" style="227" bestFit="1" customWidth="1"/>
    <col min="1253" max="1253" width="14" style="227" bestFit="1" customWidth="1"/>
    <col min="1254" max="1254" width="13.7109375" style="227" bestFit="1" customWidth="1"/>
    <col min="1255" max="1255" width="15.85546875" style="227" bestFit="1" customWidth="1"/>
    <col min="1256" max="1259" width="15.85546875" style="227" customWidth="1"/>
    <col min="1260" max="1260" width="12.42578125" style="227" bestFit="1" customWidth="1"/>
    <col min="1261" max="1263" width="12.42578125" style="227" customWidth="1"/>
    <col min="1264" max="1264" width="15.85546875" style="227" bestFit="1" customWidth="1"/>
    <col min="1265" max="1265" width="24.28515625" style="227" bestFit="1" customWidth="1"/>
    <col min="1266" max="1266" width="13.42578125" style="227" bestFit="1" customWidth="1"/>
    <col min="1267" max="1491" width="9.140625" style="227"/>
    <col min="1492" max="1492" width="13.28515625" style="227" bestFit="1" customWidth="1"/>
    <col min="1493" max="1493" width="10.140625" style="227" customWidth="1"/>
    <col min="1494" max="1494" width="14.42578125" style="227" customWidth="1"/>
    <col min="1495" max="1495" width="11.5703125" style="227" customWidth="1"/>
    <col min="1496" max="1496" width="10.85546875" style="227" customWidth="1"/>
    <col min="1497" max="1497" width="31.7109375" style="227" bestFit="1" customWidth="1"/>
    <col min="1498" max="1498" width="28.5703125" style="227" customWidth="1"/>
    <col min="1499" max="1499" width="29.140625" style="227" customWidth="1"/>
    <col min="1500" max="1500" width="16" style="227" bestFit="1" customWidth="1"/>
    <col min="1501" max="1501" width="15" style="227" customWidth="1"/>
    <col min="1502" max="1502" width="13.85546875" style="227" customWidth="1"/>
    <col min="1503" max="1503" width="16.85546875" style="227" customWidth="1"/>
    <col min="1504" max="1504" width="15.7109375" style="227" bestFit="1" customWidth="1"/>
    <col min="1505" max="1506" width="12.28515625" style="227" bestFit="1" customWidth="1"/>
    <col min="1507" max="1507" width="15.5703125" style="227" bestFit="1" customWidth="1"/>
    <col min="1508" max="1508" width="13.42578125" style="227" bestFit="1" customWidth="1"/>
    <col min="1509" max="1509" width="14" style="227" bestFit="1" customWidth="1"/>
    <col min="1510" max="1510" width="13.7109375" style="227" bestFit="1" customWidth="1"/>
    <col min="1511" max="1511" width="15.85546875" style="227" bestFit="1" customWidth="1"/>
    <col min="1512" max="1515" width="15.85546875" style="227" customWidth="1"/>
    <col min="1516" max="1516" width="12.42578125" style="227" bestFit="1" customWidth="1"/>
    <col min="1517" max="1519" width="12.42578125" style="227" customWidth="1"/>
    <col min="1520" max="1520" width="15.85546875" style="227" bestFit="1" customWidth="1"/>
    <col min="1521" max="1521" width="24.28515625" style="227" bestFit="1" customWidth="1"/>
    <col min="1522" max="1522" width="13.42578125" style="227" bestFit="1" customWidth="1"/>
    <col min="1523" max="1747" width="9.140625" style="227"/>
    <col min="1748" max="1748" width="13.28515625" style="227" bestFit="1" customWidth="1"/>
    <col min="1749" max="1749" width="10.140625" style="227" customWidth="1"/>
    <col min="1750" max="1750" width="14.42578125" style="227" customWidth="1"/>
    <col min="1751" max="1751" width="11.5703125" style="227" customWidth="1"/>
    <col min="1752" max="1752" width="10.85546875" style="227" customWidth="1"/>
    <col min="1753" max="1753" width="31.7109375" style="227" bestFit="1" customWidth="1"/>
    <col min="1754" max="1754" width="28.5703125" style="227" customWidth="1"/>
    <col min="1755" max="1755" width="29.140625" style="227" customWidth="1"/>
    <col min="1756" max="1756" width="16" style="227" bestFit="1" customWidth="1"/>
    <col min="1757" max="1757" width="15" style="227" customWidth="1"/>
    <col min="1758" max="1758" width="13.85546875" style="227" customWidth="1"/>
    <col min="1759" max="1759" width="16.85546875" style="227" customWidth="1"/>
    <col min="1760" max="1760" width="15.7109375" style="227" bestFit="1" customWidth="1"/>
    <col min="1761" max="1762" width="12.28515625" style="227" bestFit="1" customWidth="1"/>
    <col min="1763" max="1763" width="15.5703125" style="227" bestFit="1" customWidth="1"/>
    <col min="1764" max="1764" width="13.42578125" style="227" bestFit="1" customWidth="1"/>
    <col min="1765" max="1765" width="14" style="227" bestFit="1" customWidth="1"/>
    <col min="1766" max="1766" width="13.7109375" style="227" bestFit="1" customWidth="1"/>
    <col min="1767" max="1767" width="15.85546875" style="227" bestFit="1" customWidth="1"/>
    <col min="1768" max="1771" width="15.85546875" style="227" customWidth="1"/>
    <col min="1772" max="1772" width="12.42578125" style="227" bestFit="1" customWidth="1"/>
    <col min="1773" max="1775" width="12.42578125" style="227" customWidth="1"/>
    <col min="1776" max="1776" width="15.85546875" style="227" bestFit="1" customWidth="1"/>
    <col min="1777" max="1777" width="24.28515625" style="227" bestFit="1" customWidth="1"/>
    <col min="1778" max="1778" width="13.42578125" style="227" bestFit="1" customWidth="1"/>
    <col min="1779" max="2003" width="9.140625" style="227"/>
    <col min="2004" max="2004" width="13.28515625" style="227" bestFit="1" customWidth="1"/>
    <col min="2005" max="2005" width="10.140625" style="227" customWidth="1"/>
    <col min="2006" max="2006" width="14.42578125" style="227" customWidth="1"/>
    <col min="2007" max="2007" width="11.5703125" style="227" customWidth="1"/>
    <col min="2008" max="2008" width="10.85546875" style="227" customWidth="1"/>
    <col min="2009" max="2009" width="31.7109375" style="227" bestFit="1" customWidth="1"/>
    <col min="2010" max="2010" width="28.5703125" style="227" customWidth="1"/>
    <col min="2011" max="2011" width="29.140625" style="227" customWidth="1"/>
    <col min="2012" max="2012" width="16" style="227" bestFit="1" customWidth="1"/>
    <col min="2013" max="2013" width="15" style="227" customWidth="1"/>
    <col min="2014" max="2014" width="13.85546875" style="227" customWidth="1"/>
    <col min="2015" max="2015" width="16.85546875" style="227" customWidth="1"/>
    <col min="2016" max="2016" width="15.7109375" style="227" bestFit="1" customWidth="1"/>
    <col min="2017" max="2018" width="12.28515625" style="227" bestFit="1" customWidth="1"/>
    <col min="2019" max="2019" width="15.5703125" style="227" bestFit="1" customWidth="1"/>
    <col min="2020" max="2020" width="13.42578125" style="227" bestFit="1" customWidth="1"/>
    <col min="2021" max="2021" width="14" style="227" bestFit="1" customWidth="1"/>
    <col min="2022" max="2022" width="13.7109375" style="227" bestFit="1" customWidth="1"/>
    <col min="2023" max="2023" width="15.85546875" style="227" bestFit="1" customWidth="1"/>
    <col min="2024" max="2027" width="15.85546875" style="227" customWidth="1"/>
    <col min="2028" max="2028" width="12.42578125" style="227" bestFit="1" customWidth="1"/>
    <col min="2029" max="2031" width="12.42578125" style="227" customWidth="1"/>
    <col min="2032" max="2032" width="15.85546875" style="227" bestFit="1" customWidth="1"/>
    <col min="2033" max="2033" width="24.28515625" style="227" bestFit="1" customWidth="1"/>
    <col min="2034" max="2034" width="13.42578125" style="227" bestFit="1" customWidth="1"/>
    <col min="2035" max="2259" width="9.140625" style="227"/>
    <col min="2260" max="2260" width="13.28515625" style="227" bestFit="1" customWidth="1"/>
    <col min="2261" max="2261" width="10.140625" style="227" customWidth="1"/>
    <col min="2262" max="2262" width="14.42578125" style="227" customWidth="1"/>
    <col min="2263" max="2263" width="11.5703125" style="227" customWidth="1"/>
    <col min="2264" max="2264" width="10.85546875" style="227" customWidth="1"/>
    <col min="2265" max="2265" width="31.7109375" style="227" bestFit="1" customWidth="1"/>
    <col min="2266" max="2266" width="28.5703125" style="227" customWidth="1"/>
    <col min="2267" max="2267" width="29.140625" style="227" customWidth="1"/>
    <col min="2268" max="2268" width="16" style="227" bestFit="1" customWidth="1"/>
    <col min="2269" max="2269" width="15" style="227" customWidth="1"/>
    <col min="2270" max="2270" width="13.85546875" style="227" customWidth="1"/>
    <col min="2271" max="2271" width="16.85546875" style="227" customWidth="1"/>
    <col min="2272" max="2272" width="15.7109375" style="227" bestFit="1" customWidth="1"/>
    <col min="2273" max="2274" width="12.28515625" style="227" bestFit="1" customWidth="1"/>
    <col min="2275" max="2275" width="15.5703125" style="227" bestFit="1" customWidth="1"/>
    <col min="2276" max="2276" width="13.42578125" style="227" bestFit="1" customWidth="1"/>
    <col min="2277" max="2277" width="14" style="227" bestFit="1" customWidth="1"/>
    <col min="2278" max="2278" width="13.7109375" style="227" bestFit="1" customWidth="1"/>
    <col min="2279" max="2279" width="15.85546875" style="227" bestFit="1" customWidth="1"/>
    <col min="2280" max="2283" width="15.85546875" style="227" customWidth="1"/>
    <col min="2284" max="2284" width="12.42578125" style="227" bestFit="1" customWidth="1"/>
    <col min="2285" max="2287" width="12.42578125" style="227" customWidth="1"/>
    <col min="2288" max="2288" width="15.85546875" style="227" bestFit="1" customWidth="1"/>
    <col min="2289" max="2289" width="24.28515625" style="227" bestFit="1" customWidth="1"/>
    <col min="2290" max="2290" width="13.42578125" style="227" bestFit="1" customWidth="1"/>
    <col min="2291" max="2515" width="9.140625" style="227"/>
    <col min="2516" max="2516" width="13.28515625" style="227" bestFit="1" customWidth="1"/>
    <col min="2517" max="2517" width="10.140625" style="227" customWidth="1"/>
    <col min="2518" max="2518" width="14.42578125" style="227" customWidth="1"/>
    <col min="2519" max="2519" width="11.5703125" style="227" customWidth="1"/>
    <col min="2520" max="2520" width="10.85546875" style="227" customWidth="1"/>
    <col min="2521" max="2521" width="31.7109375" style="227" bestFit="1" customWidth="1"/>
    <col min="2522" max="2522" width="28.5703125" style="227" customWidth="1"/>
    <col min="2523" max="2523" width="29.140625" style="227" customWidth="1"/>
    <col min="2524" max="2524" width="16" style="227" bestFit="1" customWidth="1"/>
    <col min="2525" max="2525" width="15" style="227" customWidth="1"/>
    <col min="2526" max="2526" width="13.85546875" style="227" customWidth="1"/>
    <col min="2527" max="2527" width="16.85546875" style="227" customWidth="1"/>
    <col min="2528" max="2528" width="15.7109375" style="227" bestFit="1" customWidth="1"/>
    <col min="2529" max="2530" width="12.28515625" style="227" bestFit="1" customWidth="1"/>
    <col min="2531" max="2531" width="15.5703125" style="227" bestFit="1" customWidth="1"/>
    <col min="2532" max="2532" width="13.42578125" style="227" bestFit="1" customWidth="1"/>
    <col min="2533" max="2533" width="14" style="227" bestFit="1" customWidth="1"/>
    <col min="2534" max="2534" width="13.7109375" style="227" bestFit="1" customWidth="1"/>
    <col min="2535" max="2535" width="15.85546875" style="227" bestFit="1" customWidth="1"/>
    <col min="2536" max="2539" width="15.85546875" style="227" customWidth="1"/>
    <col min="2540" max="2540" width="12.42578125" style="227" bestFit="1" customWidth="1"/>
    <col min="2541" max="2543" width="12.42578125" style="227" customWidth="1"/>
    <col min="2544" max="2544" width="15.85546875" style="227" bestFit="1" customWidth="1"/>
    <col min="2545" max="2545" width="24.28515625" style="227" bestFit="1" customWidth="1"/>
    <col min="2546" max="2546" width="13.42578125" style="227" bestFit="1" customWidth="1"/>
    <col min="2547" max="2771" width="9.140625" style="227"/>
    <col min="2772" max="2772" width="13.28515625" style="227" bestFit="1" customWidth="1"/>
    <col min="2773" max="2773" width="10.140625" style="227" customWidth="1"/>
    <col min="2774" max="2774" width="14.42578125" style="227" customWidth="1"/>
    <col min="2775" max="2775" width="11.5703125" style="227" customWidth="1"/>
    <col min="2776" max="2776" width="10.85546875" style="227" customWidth="1"/>
    <col min="2777" max="2777" width="31.7109375" style="227" bestFit="1" customWidth="1"/>
    <col min="2778" max="2778" width="28.5703125" style="227" customWidth="1"/>
    <col min="2779" max="2779" width="29.140625" style="227" customWidth="1"/>
    <col min="2780" max="2780" width="16" style="227" bestFit="1" customWidth="1"/>
    <col min="2781" max="2781" width="15" style="227" customWidth="1"/>
    <col min="2782" max="2782" width="13.85546875" style="227" customWidth="1"/>
    <col min="2783" max="2783" width="16.85546875" style="227" customWidth="1"/>
    <col min="2784" max="2784" width="15.7109375" style="227" bestFit="1" customWidth="1"/>
    <col min="2785" max="2786" width="12.28515625" style="227" bestFit="1" customWidth="1"/>
    <col min="2787" max="2787" width="15.5703125" style="227" bestFit="1" customWidth="1"/>
    <col min="2788" max="2788" width="13.42578125" style="227" bestFit="1" customWidth="1"/>
    <col min="2789" max="2789" width="14" style="227" bestFit="1" customWidth="1"/>
    <col min="2790" max="2790" width="13.7109375" style="227" bestFit="1" customWidth="1"/>
    <col min="2791" max="2791" width="15.85546875" style="227" bestFit="1" customWidth="1"/>
    <col min="2792" max="2795" width="15.85546875" style="227" customWidth="1"/>
    <col min="2796" max="2796" width="12.42578125" style="227" bestFit="1" customWidth="1"/>
    <col min="2797" max="2799" width="12.42578125" style="227" customWidth="1"/>
    <col min="2800" max="2800" width="15.85546875" style="227" bestFit="1" customWidth="1"/>
    <col min="2801" max="2801" width="24.28515625" style="227" bestFit="1" customWidth="1"/>
    <col min="2802" max="2802" width="13.42578125" style="227" bestFit="1" customWidth="1"/>
    <col min="2803" max="3027" width="9.140625" style="227"/>
    <col min="3028" max="3028" width="13.28515625" style="227" bestFit="1" customWidth="1"/>
    <col min="3029" max="3029" width="10.140625" style="227" customWidth="1"/>
    <col min="3030" max="3030" width="14.42578125" style="227" customWidth="1"/>
    <col min="3031" max="3031" width="11.5703125" style="227" customWidth="1"/>
    <col min="3032" max="3032" width="10.85546875" style="227" customWidth="1"/>
    <col min="3033" max="3033" width="31.7109375" style="227" bestFit="1" customWidth="1"/>
    <col min="3034" max="3034" width="28.5703125" style="227" customWidth="1"/>
    <col min="3035" max="3035" width="29.140625" style="227" customWidth="1"/>
    <col min="3036" max="3036" width="16" style="227" bestFit="1" customWidth="1"/>
    <col min="3037" max="3037" width="15" style="227" customWidth="1"/>
    <col min="3038" max="3038" width="13.85546875" style="227" customWidth="1"/>
    <col min="3039" max="3039" width="16.85546875" style="227" customWidth="1"/>
    <col min="3040" max="3040" width="15.7109375" style="227" bestFit="1" customWidth="1"/>
    <col min="3041" max="3042" width="12.28515625" style="227" bestFit="1" customWidth="1"/>
    <col min="3043" max="3043" width="15.5703125" style="227" bestFit="1" customWidth="1"/>
    <col min="3044" max="3044" width="13.42578125" style="227" bestFit="1" customWidth="1"/>
    <col min="3045" max="3045" width="14" style="227" bestFit="1" customWidth="1"/>
    <col min="3046" max="3046" width="13.7109375" style="227" bestFit="1" customWidth="1"/>
    <col min="3047" max="3047" width="15.85546875" style="227" bestFit="1" customWidth="1"/>
    <col min="3048" max="3051" width="15.85546875" style="227" customWidth="1"/>
    <col min="3052" max="3052" width="12.42578125" style="227" bestFit="1" customWidth="1"/>
    <col min="3053" max="3055" width="12.42578125" style="227" customWidth="1"/>
    <col min="3056" max="3056" width="15.85546875" style="227" bestFit="1" customWidth="1"/>
    <col min="3057" max="3057" width="24.28515625" style="227" bestFit="1" customWidth="1"/>
    <col min="3058" max="3058" width="13.42578125" style="227" bestFit="1" customWidth="1"/>
    <col min="3059" max="3283" width="9.140625" style="227"/>
    <col min="3284" max="3284" width="13.28515625" style="227" bestFit="1" customWidth="1"/>
    <col min="3285" max="3285" width="10.140625" style="227" customWidth="1"/>
    <col min="3286" max="3286" width="14.42578125" style="227" customWidth="1"/>
    <col min="3287" max="3287" width="11.5703125" style="227" customWidth="1"/>
    <col min="3288" max="3288" width="10.85546875" style="227" customWidth="1"/>
    <col min="3289" max="3289" width="31.7109375" style="227" bestFit="1" customWidth="1"/>
    <col min="3290" max="3290" width="28.5703125" style="227" customWidth="1"/>
    <col min="3291" max="3291" width="29.140625" style="227" customWidth="1"/>
    <col min="3292" max="3292" width="16" style="227" bestFit="1" customWidth="1"/>
    <col min="3293" max="3293" width="15" style="227" customWidth="1"/>
    <col min="3294" max="3294" width="13.85546875" style="227" customWidth="1"/>
    <col min="3295" max="3295" width="16.85546875" style="227" customWidth="1"/>
    <col min="3296" max="3296" width="15.7109375" style="227" bestFit="1" customWidth="1"/>
    <col min="3297" max="3298" width="12.28515625" style="227" bestFit="1" customWidth="1"/>
    <col min="3299" max="3299" width="15.5703125" style="227" bestFit="1" customWidth="1"/>
    <col min="3300" max="3300" width="13.42578125" style="227" bestFit="1" customWidth="1"/>
    <col min="3301" max="3301" width="14" style="227" bestFit="1" customWidth="1"/>
    <col min="3302" max="3302" width="13.7109375" style="227" bestFit="1" customWidth="1"/>
    <col min="3303" max="3303" width="15.85546875" style="227" bestFit="1" customWidth="1"/>
    <col min="3304" max="3307" width="15.85546875" style="227" customWidth="1"/>
    <col min="3308" max="3308" width="12.42578125" style="227" bestFit="1" customWidth="1"/>
    <col min="3309" max="3311" width="12.42578125" style="227" customWidth="1"/>
    <col min="3312" max="3312" width="15.85546875" style="227" bestFit="1" customWidth="1"/>
    <col min="3313" max="3313" width="24.28515625" style="227" bestFit="1" customWidth="1"/>
    <col min="3314" max="3314" width="13.42578125" style="227" bestFit="1" customWidth="1"/>
    <col min="3315" max="3539" width="9.140625" style="227"/>
    <col min="3540" max="3540" width="13.28515625" style="227" bestFit="1" customWidth="1"/>
    <col min="3541" max="3541" width="10.140625" style="227" customWidth="1"/>
    <col min="3542" max="3542" width="14.42578125" style="227" customWidth="1"/>
    <col min="3543" max="3543" width="11.5703125" style="227" customWidth="1"/>
    <col min="3544" max="3544" width="10.85546875" style="227" customWidth="1"/>
    <col min="3545" max="3545" width="31.7109375" style="227" bestFit="1" customWidth="1"/>
    <col min="3546" max="3546" width="28.5703125" style="227" customWidth="1"/>
    <col min="3547" max="3547" width="29.140625" style="227" customWidth="1"/>
    <col min="3548" max="3548" width="16" style="227" bestFit="1" customWidth="1"/>
    <col min="3549" max="3549" width="15" style="227" customWidth="1"/>
    <col min="3550" max="3550" width="13.85546875" style="227" customWidth="1"/>
    <col min="3551" max="3551" width="16.85546875" style="227" customWidth="1"/>
    <col min="3552" max="3552" width="15.7109375" style="227" bestFit="1" customWidth="1"/>
    <col min="3553" max="3554" width="12.28515625" style="227" bestFit="1" customWidth="1"/>
    <col min="3555" max="3555" width="15.5703125" style="227" bestFit="1" customWidth="1"/>
    <col min="3556" max="3556" width="13.42578125" style="227" bestFit="1" customWidth="1"/>
    <col min="3557" max="3557" width="14" style="227" bestFit="1" customWidth="1"/>
    <col min="3558" max="3558" width="13.7109375" style="227" bestFit="1" customWidth="1"/>
    <col min="3559" max="3559" width="15.85546875" style="227" bestFit="1" customWidth="1"/>
    <col min="3560" max="3563" width="15.85546875" style="227" customWidth="1"/>
    <col min="3564" max="3564" width="12.42578125" style="227" bestFit="1" customWidth="1"/>
    <col min="3565" max="3567" width="12.42578125" style="227" customWidth="1"/>
    <col min="3568" max="3568" width="15.85546875" style="227" bestFit="1" customWidth="1"/>
    <col min="3569" max="3569" width="24.28515625" style="227" bestFit="1" customWidth="1"/>
    <col min="3570" max="3570" width="13.42578125" style="227" bestFit="1" customWidth="1"/>
    <col min="3571" max="3795" width="9.140625" style="227"/>
    <col min="3796" max="3796" width="13.28515625" style="227" bestFit="1" customWidth="1"/>
    <col min="3797" max="3797" width="10.140625" style="227" customWidth="1"/>
    <col min="3798" max="3798" width="14.42578125" style="227" customWidth="1"/>
    <col min="3799" max="3799" width="11.5703125" style="227" customWidth="1"/>
    <col min="3800" max="3800" width="10.85546875" style="227" customWidth="1"/>
    <col min="3801" max="3801" width="31.7109375" style="227" bestFit="1" customWidth="1"/>
    <col min="3802" max="3802" width="28.5703125" style="227" customWidth="1"/>
    <col min="3803" max="3803" width="29.140625" style="227" customWidth="1"/>
    <col min="3804" max="3804" width="16" style="227" bestFit="1" customWidth="1"/>
    <col min="3805" max="3805" width="15" style="227" customWidth="1"/>
    <col min="3806" max="3806" width="13.85546875" style="227" customWidth="1"/>
    <col min="3807" max="3807" width="16.85546875" style="227" customWidth="1"/>
    <col min="3808" max="3808" width="15.7109375" style="227" bestFit="1" customWidth="1"/>
    <col min="3809" max="3810" width="12.28515625" style="227" bestFit="1" customWidth="1"/>
    <col min="3811" max="3811" width="15.5703125" style="227" bestFit="1" customWidth="1"/>
    <col min="3812" max="3812" width="13.42578125" style="227" bestFit="1" customWidth="1"/>
    <col min="3813" max="3813" width="14" style="227" bestFit="1" customWidth="1"/>
    <col min="3814" max="3814" width="13.7109375" style="227" bestFit="1" customWidth="1"/>
    <col min="3815" max="3815" width="15.85546875" style="227" bestFit="1" customWidth="1"/>
    <col min="3816" max="3819" width="15.85546875" style="227" customWidth="1"/>
    <col min="3820" max="3820" width="12.42578125" style="227" bestFit="1" customWidth="1"/>
    <col min="3821" max="3823" width="12.42578125" style="227" customWidth="1"/>
    <col min="3824" max="3824" width="15.85546875" style="227" bestFit="1" customWidth="1"/>
    <col min="3825" max="3825" width="24.28515625" style="227" bestFit="1" customWidth="1"/>
    <col min="3826" max="3826" width="13.42578125" style="227" bestFit="1" customWidth="1"/>
    <col min="3827" max="4051" width="9.140625" style="227"/>
    <col min="4052" max="4052" width="13.28515625" style="227" bestFit="1" customWidth="1"/>
    <col min="4053" max="4053" width="10.140625" style="227" customWidth="1"/>
    <col min="4054" max="4054" width="14.42578125" style="227" customWidth="1"/>
    <col min="4055" max="4055" width="11.5703125" style="227" customWidth="1"/>
    <col min="4056" max="4056" width="10.85546875" style="227" customWidth="1"/>
    <col min="4057" max="4057" width="31.7109375" style="227" bestFit="1" customWidth="1"/>
    <col min="4058" max="4058" width="28.5703125" style="227" customWidth="1"/>
    <col min="4059" max="4059" width="29.140625" style="227" customWidth="1"/>
    <col min="4060" max="4060" width="16" style="227" bestFit="1" customWidth="1"/>
    <col min="4061" max="4061" width="15" style="227" customWidth="1"/>
    <col min="4062" max="4062" width="13.85546875" style="227" customWidth="1"/>
    <col min="4063" max="4063" width="16.85546875" style="227" customWidth="1"/>
    <col min="4064" max="4064" width="15.7109375" style="227" bestFit="1" customWidth="1"/>
    <col min="4065" max="4066" width="12.28515625" style="227" bestFit="1" customWidth="1"/>
    <col min="4067" max="4067" width="15.5703125" style="227" bestFit="1" customWidth="1"/>
    <col min="4068" max="4068" width="13.42578125" style="227" bestFit="1" customWidth="1"/>
    <col min="4069" max="4069" width="14" style="227" bestFit="1" customWidth="1"/>
    <col min="4070" max="4070" width="13.7109375" style="227" bestFit="1" customWidth="1"/>
    <col min="4071" max="4071" width="15.85546875" style="227" bestFit="1" customWidth="1"/>
    <col min="4072" max="4075" width="15.85546875" style="227" customWidth="1"/>
    <col min="4076" max="4076" width="12.42578125" style="227" bestFit="1" customWidth="1"/>
    <col min="4077" max="4079" width="12.42578125" style="227" customWidth="1"/>
    <col min="4080" max="4080" width="15.85546875" style="227" bestFit="1" customWidth="1"/>
    <col min="4081" max="4081" width="24.28515625" style="227" bestFit="1" customWidth="1"/>
    <col min="4082" max="4082" width="13.42578125" style="227" bestFit="1" customWidth="1"/>
    <col min="4083" max="4307" width="9.140625" style="227"/>
    <col min="4308" max="4308" width="13.28515625" style="227" bestFit="1" customWidth="1"/>
    <col min="4309" max="4309" width="10.140625" style="227" customWidth="1"/>
    <col min="4310" max="4310" width="14.42578125" style="227" customWidth="1"/>
    <col min="4311" max="4311" width="11.5703125" style="227" customWidth="1"/>
    <col min="4312" max="4312" width="10.85546875" style="227" customWidth="1"/>
    <col min="4313" max="4313" width="31.7109375" style="227" bestFit="1" customWidth="1"/>
    <col min="4314" max="4314" width="28.5703125" style="227" customWidth="1"/>
    <col min="4315" max="4315" width="29.140625" style="227" customWidth="1"/>
    <col min="4316" max="4316" width="16" style="227" bestFit="1" customWidth="1"/>
    <col min="4317" max="4317" width="15" style="227" customWidth="1"/>
    <col min="4318" max="4318" width="13.85546875" style="227" customWidth="1"/>
    <col min="4319" max="4319" width="16.85546875" style="227" customWidth="1"/>
    <col min="4320" max="4320" width="15.7109375" style="227" bestFit="1" customWidth="1"/>
    <col min="4321" max="4322" width="12.28515625" style="227" bestFit="1" customWidth="1"/>
    <col min="4323" max="4323" width="15.5703125" style="227" bestFit="1" customWidth="1"/>
    <col min="4324" max="4324" width="13.42578125" style="227" bestFit="1" customWidth="1"/>
    <col min="4325" max="4325" width="14" style="227" bestFit="1" customWidth="1"/>
    <col min="4326" max="4326" width="13.7109375" style="227" bestFit="1" customWidth="1"/>
    <col min="4327" max="4327" width="15.85546875" style="227" bestFit="1" customWidth="1"/>
    <col min="4328" max="4331" width="15.85546875" style="227" customWidth="1"/>
    <col min="4332" max="4332" width="12.42578125" style="227" bestFit="1" customWidth="1"/>
    <col min="4333" max="4335" width="12.42578125" style="227" customWidth="1"/>
    <col min="4336" max="4336" width="15.85546875" style="227" bestFit="1" customWidth="1"/>
    <col min="4337" max="4337" width="24.28515625" style="227" bestFit="1" customWidth="1"/>
    <col min="4338" max="4338" width="13.42578125" style="227" bestFit="1" customWidth="1"/>
    <col min="4339" max="4563" width="9.140625" style="227"/>
    <col min="4564" max="4564" width="13.28515625" style="227" bestFit="1" customWidth="1"/>
    <col min="4565" max="4565" width="10.140625" style="227" customWidth="1"/>
    <col min="4566" max="4566" width="14.42578125" style="227" customWidth="1"/>
    <col min="4567" max="4567" width="11.5703125" style="227" customWidth="1"/>
    <col min="4568" max="4568" width="10.85546875" style="227" customWidth="1"/>
    <col min="4569" max="4569" width="31.7109375" style="227" bestFit="1" customWidth="1"/>
    <col min="4570" max="4570" width="28.5703125" style="227" customWidth="1"/>
    <col min="4571" max="4571" width="29.140625" style="227" customWidth="1"/>
    <col min="4572" max="4572" width="16" style="227" bestFit="1" customWidth="1"/>
    <col min="4573" max="4573" width="15" style="227" customWidth="1"/>
    <col min="4574" max="4574" width="13.85546875" style="227" customWidth="1"/>
    <col min="4575" max="4575" width="16.85546875" style="227" customWidth="1"/>
    <col min="4576" max="4576" width="15.7109375" style="227" bestFit="1" customWidth="1"/>
    <col min="4577" max="4578" width="12.28515625" style="227" bestFit="1" customWidth="1"/>
    <col min="4579" max="4579" width="15.5703125" style="227" bestFit="1" customWidth="1"/>
    <col min="4580" max="4580" width="13.42578125" style="227" bestFit="1" customWidth="1"/>
    <col min="4581" max="4581" width="14" style="227" bestFit="1" customWidth="1"/>
    <col min="4582" max="4582" width="13.7109375" style="227" bestFit="1" customWidth="1"/>
    <col min="4583" max="4583" width="15.85546875" style="227" bestFit="1" customWidth="1"/>
    <col min="4584" max="4587" width="15.85546875" style="227" customWidth="1"/>
    <col min="4588" max="4588" width="12.42578125" style="227" bestFit="1" customWidth="1"/>
    <col min="4589" max="4591" width="12.42578125" style="227" customWidth="1"/>
    <col min="4592" max="4592" width="15.85546875" style="227" bestFit="1" customWidth="1"/>
    <col min="4593" max="4593" width="24.28515625" style="227" bestFit="1" customWidth="1"/>
    <col min="4594" max="4594" width="13.42578125" style="227" bestFit="1" customWidth="1"/>
    <col min="4595" max="4819" width="9.140625" style="227"/>
    <col min="4820" max="4820" width="13.28515625" style="227" bestFit="1" customWidth="1"/>
    <col min="4821" max="4821" width="10.140625" style="227" customWidth="1"/>
    <col min="4822" max="4822" width="14.42578125" style="227" customWidth="1"/>
    <col min="4823" max="4823" width="11.5703125" style="227" customWidth="1"/>
    <col min="4824" max="4824" width="10.85546875" style="227" customWidth="1"/>
    <col min="4825" max="4825" width="31.7109375" style="227" bestFit="1" customWidth="1"/>
    <col min="4826" max="4826" width="28.5703125" style="227" customWidth="1"/>
    <col min="4827" max="4827" width="29.140625" style="227" customWidth="1"/>
    <col min="4828" max="4828" width="16" style="227" bestFit="1" customWidth="1"/>
    <col min="4829" max="4829" width="15" style="227" customWidth="1"/>
    <col min="4830" max="4830" width="13.85546875" style="227" customWidth="1"/>
    <col min="4831" max="4831" width="16.85546875" style="227" customWidth="1"/>
    <col min="4832" max="4832" width="15.7109375" style="227" bestFit="1" customWidth="1"/>
    <col min="4833" max="4834" width="12.28515625" style="227" bestFit="1" customWidth="1"/>
    <col min="4835" max="4835" width="15.5703125" style="227" bestFit="1" customWidth="1"/>
    <col min="4836" max="4836" width="13.42578125" style="227" bestFit="1" customWidth="1"/>
    <col min="4837" max="4837" width="14" style="227" bestFit="1" customWidth="1"/>
    <col min="4838" max="4838" width="13.7109375" style="227" bestFit="1" customWidth="1"/>
    <col min="4839" max="4839" width="15.85546875" style="227" bestFit="1" customWidth="1"/>
    <col min="4840" max="4843" width="15.85546875" style="227" customWidth="1"/>
    <col min="4844" max="4844" width="12.42578125" style="227" bestFit="1" customWidth="1"/>
    <col min="4845" max="4847" width="12.42578125" style="227" customWidth="1"/>
    <col min="4848" max="4848" width="15.85546875" style="227" bestFit="1" customWidth="1"/>
    <col min="4849" max="4849" width="24.28515625" style="227" bestFit="1" customWidth="1"/>
    <col min="4850" max="4850" width="13.42578125" style="227" bestFit="1" customWidth="1"/>
    <col min="4851" max="5075" width="9.140625" style="227"/>
    <col min="5076" max="5076" width="13.28515625" style="227" bestFit="1" customWidth="1"/>
    <col min="5077" max="5077" width="10.140625" style="227" customWidth="1"/>
    <col min="5078" max="5078" width="14.42578125" style="227" customWidth="1"/>
    <col min="5079" max="5079" width="11.5703125" style="227" customWidth="1"/>
    <col min="5080" max="5080" width="10.85546875" style="227" customWidth="1"/>
    <col min="5081" max="5081" width="31.7109375" style="227" bestFit="1" customWidth="1"/>
    <col min="5082" max="5082" width="28.5703125" style="227" customWidth="1"/>
    <col min="5083" max="5083" width="29.140625" style="227" customWidth="1"/>
    <col min="5084" max="5084" width="16" style="227" bestFit="1" customWidth="1"/>
    <col min="5085" max="5085" width="15" style="227" customWidth="1"/>
    <col min="5086" max="5086" width="13.85546875" style="227" customWidth="1"/>
    <col min="5087" max="5087" width="16.85546875" style="227" customWidth="1"/>
    <col min="5088" max="5088" width="15.7109375" style="227" bestFit="1" customWidth="1"/>
    <col min="5089" max="5090" width="12.28515625" style="227" bestFit="1" customWidth="1"/>
    <col min="5091" max="5091" width="15.5703125" style="227" bestFit="1" customWidth="1"/>
    <col min="5092" max="5092" width="13.42578125" style="227" bestFit="1" customWidth="1"/>
    <col min="5093" max="5093" width="14" style="227" bestFit="1" customWidth="1"/>
    <col min="5094" max="5094" width="13.7109375" style="227" bestFit="1" customWidth="1"/>
    <col min="5095" max="5095" width="15.85546875" style="227" bestFit="1" customWidth="1"/>
    <col min="5096" max="5099" width="15.85546875" style="227" customWidth="1"/>
    <col min="5100" max="5100" width="12.42578125" style="227" bestFit="1" customWidth="1"/>
    <col min="5101" max="5103" width="12.42578125" style="227" customWidth="1"/>
    <col min="5104" max="5104" width="15.85546875" style="227" bestFit="1" customWidth="1"/>
    <col min="5105" max="5105" width="24.28515625" style="227" bestFit="1" customWidth="1"/>
    <col min="5106" max="5106" width="13.42578125" style="227" bestFit="1" customWidth="1"/>
    <col min="5107" max="5331" width="9.140625" style="227"/>
    <col min="5332" max="5332" width="13.28515625" style="227" bestFit="1" customWidth="1"/>
    <col min="5333" max="5333" width="10.140625" style="227" customWidth="1"/>
    <col min="5334" max="5334" width="14.42578125" style="227" customWidth="1"/>
    <col min="5335" max="5335" width="11.5703125" style="227" customWidth="1"/>
    <col min="5336" max="5336" width="10.85546875" style="227" customWidth="1"/>
    <col min="5337" max="5337" width="31.7109375" style="227" bestFit="1" customWidth="1"/>
    <col min="5338" max="5338" width="28.5703125" style="227" customWidth="1"/>
    <col min="5339" max="5339" width="29.140625" style="227" customWidth="1"/>
    <col min="5340" max="5340" width="16" style="227" bestFit="1" customWidth="1"/>
    <col min="5341" max="5341" width="15" style="227" customWidth="1"/>
    <col min="5342" max="5342" width="13.85546875" style="227" customWidth="1"/>
    <col min="5343" max="5343" width="16.85546875" style="227" customWidth="1"/>
    <col min="5344" max="5344" width="15.7109375" style="227" bestFit="1" customWidth="1"/>
    <col min="5345" max="5346" width="12.28515625" style="227" bestFit="1" customWidth="1"/>
    <col min="5347" max="5347" width="15.5703125" style="227" bestFit="1" customWidth="1"/>
    <col min="5348" max="5348" width="13.42578125" style="227" bestFit="1" customWidth="1"/>
    <col min="5349" max="5349" width="14" style="227" bestFit="1" customWidth="1"/>
    <col min="5350" max="5350" width="13.7109375" style="227" bestFit="1" customWidth="1"/>
    <col min="5351" max="5351" width="15.85546875" style="227" bestFit="1" customWidth="1"/>
    <col min="5352" max="5355" width="15.85546875" style="227" customWidth="1"/>
    <col min="5356" max="5356" width="12.42578125" style="227" bestFit="1" customWidth="1"/>
    <col min="5357" max="5359" width="12.42578125" style="227" customWidth="1"/>
    <col min="5360" max="5360" width="15.85546875" style="227" bestFit="1" customWidth="1"/>
    <col min="5361" max="5361" width="24.28515625" style="227" bestFit="1" customWidth="1"/>
    <col min="5362" max="5362" width="13.42578125" style="227" bestFit="1" customWidth="1"/>
    <col min="5363" max="5587" width="9.140625" style="227"/>
    <col min="5588" max="5588" width="13.28515625" style="227" bestFit="1" customWidth="1"/>
    <col min="5589" max="5589" width="10.140625" style="227" customWidth="1"/>
    <col min="5590" max="5590" width="14.42578125" style="227" customWidth="1"/>
    <col min="5591" max="5591" width="11.5703125" style="227" customWidth="1"/>
    <col min="5592" max="5592" width="10.85546875" style="227" customWidth="1"/>
    <col min="5593" max="5593" width="31.7109375" style="227" bestFit="1" customWidth="1"/>
    <col min="5594" max="5594" width="28.5703125" style="227" customWidth="1"/>
    <col min="5595" max="5595" width="29.140625" style="227" customWidth="1"/>
    <col min="5596" max="5596" width="16" style="227" bestFit="1" customWidth="1"/>
    <col min="5597" max="5597" width="15" style="227" customWidth="1"/>
    <col min="5598" max="5598" width="13.85546875" style="227" customWidth="1"/>
    <col min="5599" max="5599" width="16.85546875" style="227" customWidth="1"/>
    <col min="5600" max="5600" width="15.7109375" style="227" bestFit="1" customWidth="1"/>
    <col min="5601" max="5602" width="12.28515625" style="227" bestFit="1" customWidth="1"/>
    <col min="5603" max="5603" width="15.5703125" style="227" bestFit="1" customWidth="1"/>
    <col min="5604" max="5604" width="13.42578125" style="227" bestFit="1" customWidth="1"/>
    <col min="5605" max="5605" width="14" style="227" bestFit="1" customWidth="1"/>
    <col min="5606" max="5606" width="13.7109375" style="227" bestFit="1" customWidth="1"/>
    <col min="5607" max="5607" width="15.85546875" style="227" bestFit="1" customWidth="1"/>
    <col min="5608" max="5611" width="15.85546875" style="227" customWidth="1"/>
    <col min="5612" max="5612" width="12.42578125" style="227" bestFit="1" customWidth="1"/>
    <col min="5613" max="5615" width="12.42578125" style="227" customWidth="1"/>
    <col min="5616" max="5616" width="15.85546875" style="227" bestFit="1" customWidth="1"/>
    <col min="5617" max="5617" width="24.28515625" style="227" bestFit="1" customWidth="1"/>
    <col min="5618" max="5618" width="13.42578125" style="227" bestFit="1" customWidth="1"/>
    <col min="5619" max="5843" width="9.140625" style="227"/>
    <col min="5844" max="5844" width="13.28515625" style="227" bestFit="1" customWidth="1"/>
    <col min="5845" max="5845" width="10.140625" style="227" customWidth="1"/>
    <col min="5846" max="5846" width="14.42578125" style="227" customWidth="1"/>
    <col min="5847" max="5847" width="11.5703125" style="227" customWidth="1"/>
    <col min="5848" max="5848" width="10.85546875" style="227" customWidth="1"/>
    <col min="5849" max="5849" width="31.7109375" style="227" bestFit="1" customWidth="1"/>
    <col min="5850" max="5850" width="28.5703125" style="227" customWidth="1"/>
    <col min="5851" max="5851" width="29.140625" style="227" customWidth="1"/>
    <col min="5852" max="5852" width="16" style="227" bestFit="1" customWidth="1"/>
    <col min="5853" max="5853" width="15" style="227" customWidth="1"/>
    <col min="5854" max="5854" width="13.85546875" style="227" customWidth="1"/>
    <col min="5855" max="5855" width="16.85546875" style="227" customWidth="1"/>
    <col min="5856" max="5856" width="15.7109375" style="227" bestFit="1" customWidth="1"/>
    <col min="5857" max="5858" width="12.28515625" style="227" bestFit="1" customWidth="1"/>
    <col min="5859" max="5859" width="15.5703125" style="227" bestFit="1" customWidth="1"/>
    <col min="5860" max="5860" width="13.42578125" style="227" bestFit="1" customWidth="1"/>
    <col min="5861" max="5861" width="14" style="227" bestFit="1" customWidth="1"/>
    <col min="5862" max="5862" width="13.7109375" style="227" bestFit="1" customWidth="1"/>
    <col min="5863" max="5863" width="15.85546875" style="227" bestFit="1" customWidth="1"/>
    <col min="5864" max="5867" width="15.85546875" style="227" customWidth="1"/>
    <col min="5868" max="5868" width="12.42578125" style="227" bestFit="1" customWidth="1"/>
    <col min="5869" max="5871" width="12.42578125" style="227" customWidth="1"/>
    <col min="5872" max="5872" width="15.85546875" style="227" bestFit="1" customWidth="1"/>
    <col min="5873" max="5873" width="24.28515625" style="227" bestFit="1" customWidth="1"/>
    <col min="5874" max="5874" width="13.42578125" style="227" bestFit="1" customWidth="1"/>
    <col min="5875" max="6099" width="9.140625" style="227"/>
    <col min="6100" max="6100" width="13.28515625" style="227" bestFit="1" customWidth="1"/>
    <col min="6101" max="6101" width="10.140625" style="227" customWidth="1"/>
    <col min="6102" max="6102" width="14.42578125" style="227" customWidth="1"/>
    <col min="6103" max="6103" width="11.5703125" style="227" customWidth="1"/>
    <col min="6104" max="6104" width="10.85546875" style="227" customWidth="1"/>
    <col min="6105" max="6105" width="31.7109375" style="227" bestFit="1" customWidth="1"/>
    <col min="6106" max="6106" width="28.5703125" style="227" customWidth="1"/>
    <col min="6107" max="6107" width="29.140625" style="227" customWidth="1"/>
    <col min="6108" max="6108" width="16" style="227" bestFit="1" customWidth="1"/>
    <col min="6109" max="6109" width="15" style="227" customWidth="1"/>
    <col min="6110" max="6110" width="13.85546875" style="227" customWidth="1"/>
    <col min="6111" max="6111" width="16.85546875" style="227" customWidth="1"/>
    <col min="6112" max="6112" width="15.7109375" style="227" bestFit="1" customWidth="1"/>
    <col min="6113" max="6114" width="12.28515625" style="227" bestFit="1" customWidth="1"/>
    <col min="6115" max="6115" width="15.5703125" style="227" bestFit="1" customWidth="1"/>
    <col min="6116" max="6116" width="13.42578125" style="227" bestFit="1" customWidth="1"/>
    <col min="6117" max="6117" width="14" style="227" bestFit="1" customWidth="1"/>
    <col min="6118" max="6118" width="13.7109375" style="227" bestFit="1" customWidth="1"/>
    <col min="6119" max="6119" width="15.85546875" style="227" bestFit="1" customWidth="1"/>
    <col min="6120" max="6123" width="15.85546875" style="227" customWidth="1"/>
    <col min="6124" max="6124" width="12.42578125" style="227" bestFit="1" customWidth="1"/>
    <col min="6125" max="6127" width="12.42578125" style="227" customWidth="1"/>
    <col min="6128" max="6128" width="15.85546875" style="227" bestFit="1" customWidth="1"/>
    <col min="6129" max="6129" width="24.28515625" style="227" bestFit="1" customWidth="1"/>
    <col min="6130" max="6130" width="13.42578125" style="227" bestFit="1" customWidth="1"/>
    <col min="6131" max="6355" width="9.140625" style="227"/>
    <col min="6356" max="6356" width="13.28515625" style="227" bestFit="1" customWidth="1"/>
    <col min="6357" max="6357" width="10.140625" style="227" customWidth="1"/>
    <col min="6358" max="6358" width="14.42578125" style="227" customWidth="1"/>
    <col min="6359" max="6359" width="11.5703125" style="227" customWidth="1"/>
    <col min="6360" max="6360" width="10.85546875" style="227" customWidth="1"/>
    <col min="6361" max="6361" width="31.7109375" style="227" bestFit="1" customWidth="1"/>
    <col min="6362" max="6362" width="28.5703125" style="227" customWidth="1"/>
    <col min="6363" max="6363" width="29.140625" style="227" customWidth="1"/>
    <col min="6364" max="6364" width="16" style="227" bestFit="1" customWidth="1"/>
    <col min="6365" max="6365" width="15" style="227" customWidth="1"/>
    <col min="6366" max="6366" width="13.85546875" style="227" customWidth="1"/>
    <col min="6367" max="6367" width="16.85546875" style="227" customWidth="1"/>
    <col min="6368" max="6368" width="15.7109375" style="227" bestFit="1" customWidth="1"/>
    <col min="6369" max="6370" width="12.28515625" style="227" bestFit="1" customWidth="1"/>
    <col min="6371" max="6371" width="15.5703125" style="227" bestFit="1" customWidth="1"/>
    <col min="6372" max="6372" width="13.42578125" style="227" bestFit="1" customWidth="1"/>
    <col min="6373" max="6373" width="14" style="227" bestFit="1" customWidth="1"/>
    <col min="6374" max="6374" width="13.7109375" style="227" bestFit="1" customWidth="1"/>
    <col min="6375" max="6375" width="15.85546875" style="227" bestFit="1" customWidth="1"/>
    <col min="6376" max="6379" width="15.85546875" style="227" customWidth="1"/>
    <col min="6380" max="6380" width="12.42578125" style="227" bestFit="1" customWidth="1"/>
    <col min="6381" max="6383" width="12.42578125" style="227" customWidth="1"/>
    <col min="6384" max="6384" width="15.85546875" style="227" bestFit="1" customWidth="1"/>
    <col min="6385" max="6385" width="24.28515625" style="227" bestFit="1" customWidth="1"/>
    <col min="6386" max="6386" width="13.42578125" style="227" bestFit="1" customWidth="1"/>
    <col min="6387" max="6611" width="9.140625" style="227"/>
    <col min="6612" max="6612" width="13.28515625" style="227" bestFit="1" customWidth="1"/>
    <col min="6613" max="6613" width="10.140625" style="227" customWidth="1"/>
    <col min="6614" max="6614" width="14.42578125" style="227" customWidth="1"/>
    <col min="6615" max="6615" width="11.5703125" style="227" customWidth="1"/>
    <col min="6616" max="6616" width="10.85546875" style="227" customWidth="1"/>
    <col min="6617" max="6617" width="31.7109375" style="227" bestFit="1" customWidth="1"/>
    <col min="6618" max="6618" width="28.5703125" style="227" customWidth="1"/>
    <col min="6619" max="6619" width="29.140625" style="227" customWidth="1"/>
    <col min="6620" max="6620" width="16" style="227" bestFit="1" customWidth="1"/>
    <col min="6621" max="6621" width="15" style="227" customWidth="1"/>
    <col min="6622" max="6622" width="13.85546875" style="227" customWidth="1"/>
    <col min="6623" max="6623" width="16.85546875" style="227" customWidth="1"/>
    <col min="6624" max="6624" width="15.7109375" style="227" bestFit="1" customWidth="1"/>
    <col min="6625" max="6626" width="12.28515625" style="227" bestFit="1" customWidth="1"/>
    <col min="6627" max="6627" width="15.5703125" style="227" bestFit="1" customWidth="1"/>
    <col min="6628" max="6628" width="13.42578125" style="227" bestFit="1" customWidth="1"/>
    <col min="6629" max="6629" width="14" style="227" bestFit="1" customWidth="1"/>
    <col min="6630" max="6630" width="13.7109375" style="227" bestFit="1" customWidth="1"/>
    <col min="6631" max="6631" width="15.85546875" style="227" bestFit="1" customWidth="1"/>
    <col min="6632" max="6635" width="15.85546875" style="227" customWidth="1"/>
    <col min="6636" max="6636" width="12.42578125" style="227" bestFit="1" customWidth="1"/>
    <col min="6637" max="6639" width="12.42578125" style="227" customWidth="1"/>
    <col min="6640" max="6640" width="15.85546875" style="227" bestFit="1" customWidth="1"/>
    <col min="6641" max="6641" width="24.28515625" style="227" bestFit="1" customWidth="1"/>
    <col min="6642" max="6642" width="13.42578125" style="227" bestFit="1" customWidth="1"/>
    <col min="6643" max="6867" width="9.140625" style="227"/>
    <col min="6868" max="6868" width="13.28515625" style="227" bestFit="1" customWidth="1"/>
    <col min="6869" max="6869" width="10.140625" style="227" customWidth="1"/>
    <col min="6870" max="6870" width="14.42578125" style="227" customWidth="1"/>
    <col min="6871" max="6871" width="11.5703125" style="227" customWidth="1"/>
    <col min="6872" max="6872" width="10.85546875" style="227" customWidth="1"/>
    <col min="6873" max="6873" width="31.7109375" style="227" bestFit="1" customWidth="1"/>
    <col min="6874" max="6874" width="28.5703125" style="227" customWidth="1"/>
    <col min="6875" max="6875" width="29.140625" style="227" customWidth="1"/>
    <col min="6876" max="6876" width="16" style="227" bestFit="1" customWidth="1"/>
    <col min="6877" max="6877" width="15" style="227" customWidth="1"/>
    <col min="6878" max="6878" width="13.85546875" style="227" customWidth="1"/>
    <col min="6879" max="6879" width="16.85546875" style="227" customWidth="1"/>
    <col min="6880" max="6880" width="15.7109375" style="227" bestFit="1" customWidth="1"/>
    <col min="6881" max="6882" width="12.28515625" style="227" bestFit="1" customWidth="1"/>
    <col min="6883" max="6883" width="15.5703125" style="227" bestFit="1" customWidth="1"/>
    <col min="6884" max="6884" width="13.42578125" style="227" bestFit="1" customWidth="1"/>
    <col min="6885" max="6885" width="14" style="227" bestFit="1" customWidth="1"/>
    <col min="6886" max="6886" width="13.7109375" style="227" bestFit="1" customWidth="1"/>
    <col min="6887" max="6887" width="15.85546875" style="227" bestFit="1" customWidth="1"/>
    <col min="6888" max="6891" width="15.85546875" style="227" customWidth="1"/>
    <col min="6892" max="6892" width="12.42578125" style="227" bestFit="1" customWidth="1"/>
    <col min="6893" max="6895" width="12.42578125" style="227" customWidth="1"/>
    <col min="6896" max="6896" width="15.85546875" style="227" bestFit="1" customWidth="1"/>
    <col min="6897" max="6897" width="24.28515625" style="227" bestFit="1" customWidth="1"/>
    <col min="6898" max="6898" width="13.42578125" style="227" bestFit="1" customWidth="1"/>
    <col min="6899" max="7123" width="9.140625" style="227"/>
    <col min="7124" max="7124" width="13.28515625" style="227" bestFit="1" customWidth="1"/>
    <col min="7125" max="7125" width="10.140625" style="227" customWidth="1"/>
    <col min="7126" max="7126" width="14.42578125" style="227" customWidth="1"/>
    <col min="7127" max="7127" width="11.5703125" style="227" customWidth="1"/>
    <col min="7128" max="7128" width="10.85546875" style="227" customWidth="1"/>
    <col min="7129" max="7129" width="31.7109375" style="227" bestFit="1" customWidth="1"/>
    <col min="7130" max="7130" width="28.5703125" style="227" customWidth="1"/>
    <col min="7131" max="7131" width="29.140625" style="227" customWidth="1"/>
    <col min="7132" max="7132" width="16" style="227" bestFit="1" customWidth="1"/>
    <col min="7133" max="7133" width="15" style="227" customWidth="1"/>
    <col min="7134" max="7134" width="13.85546875" style="227" customWidth="1"/>
    <col min="7135" max="7135" width="16.85546875" style="227" customWidth="1"/>
    <col min="7136" max="7136" width="15.7109375" style="227" bestFit="1" customWidth="1"/>
    <col min="7137" max="7138" width="12.28515625" style="227" bestFit="1" customWidth="1"/>
    <col min="7139" max="7139" width="15.5703125" style="227" bestFit="1" customWidth="1"/>
    <col min="7140" max="7140" width="13.42578125" style="227" bestFit="1" customWidth="1"/>
    <col min="7141" max="7141" width="14" style="227" bestFit="1" customWidth="1"/>
    <col min="7142" max="7142" width="13.7109375" style="227" bestFit="1" customWidth="1"/>
    <col min="7143" max="7143" width="15.85546875" style="227" bestFit="1" customWidth="1"/>
    <col min="7144" max="7147" width="15.85546875" style="227" customWidth="1"/>
    <col min="7148" max="7148" width="12.42578125" style="227" bestFit="1" customWidth="1"/>
    <col min="7149" max="7151" width="12.42578125" style="227" customWidth="1"/>
    <col min="7152" max="7152" width="15.85546875" style="227" bestFit="1" customWidth="1"/>
    <col min="7153" max="7153" width="24.28515625" style="227" bestFit="1" customWidth="1"/>
    <col min="7154" max="7154" width="13.42578125" style="227" bestFit="1" customWidth="1"/>
    <col min="7155" max="7379" width="9.140625" style="227"/>
    <col min="7380" max="7380" width="13.28515625" style="227" bestFit="1" customWidth="1"/>
    <col min="7381" max="7381" width="10.140625" style="227" customWidth="1"/>
    <col min="7382" max="7382" width="14.42578125" style="227" customWidth="1"/>
    <col min="7383" max="7383" width="11.5703125" style="227" customWidth="1"/>
    <col min="7384" max="7384" width="10.85546875" style="227" customWidth="1"/>
    <col min="7385" max="7385" width="31.7109375" style="227" bestFit="1" customWidth="1"/>
    <col min="7386" max="7386" width="28.5703125" style="227" customWidth="1"/>
    <col min="7387" max="7387" width="29.140625" style="227" customWidth="1"/>
    <col min="7388" max="7388" width="16" style="227" bestFit="1" customWidth="1"/>
    <col min="7389" max="7389" width="15" style="227" customWidth="1"/>
    <col min="7390" max="7390" width="13.85546875" style="227" customWidth="1"/>
    <col min="7391" max="7391" width="16.85546875" style="227" customWidth="1"/>
    <col min="7392" max="7392" width="15.7109375" style="227" bestFit="1" customWidth="1"/>
    <col min="7393" max="7394" width="12.28515625" style="227" bestFit="1" customWidth="1"/>
    <col min="7395" max="7395" width="15.5703125" style="227" bestFit="1" customWidth="1"/>
    <col min="7396" max="7396" width="13.42578125" style="227" bestFit="1" customWidth="1"/>
    <col min="7397" max="7397" width="14" style="227" bestFit="1" customWidth="1"/>
    <col min="7398" max="7398" width="13.7109375" style="227" bestFit="1" customWidth="1"/>
    <col min="7399" max="7399" width="15.85546875" style="227" bestFit="1" customWidth="1"/>
    <col min="7400" max="7403" width="15.85546875" style="227" customWidth="1"/>
    <col min="7404" max="7404" width="12.42578125" style="227" bestFit="1" customWidth="1"/>
    <col min="7405" max="7407" width="12.42578125" style="227" customWidth="1"/>
    <col min="7408" max="7408" width="15.85546875" style="227" bestFit="1" customWidth="1"/>
    <col min="7409" max="7409" width="24.28515625" style="227" bestFit="1" customWidth="1"/>
    <col min="7410" max="7410" width="13.42578125" style="227" bestFit="1" customWidth="1"/>
    <col min="7411" max="7635" width="9.140625" style="227"/>
    <col min="7636" max="7636" width="13.28515625" style="227" bestFit="1" customWidth="1"/>
    <col min="7637" max="7637" width="10.140625" style="227" customWidth="1"/>
    <col min="7638" max="7638" width="14.42578125" style="227" customWidth="1"/>
    <col min="7639" max="7639" width="11.5703125" style="227" customWidth="1"/>
    <col min="7640" max="7640" width="10.85546875" style="227" customWidth="1"/>
    <col min="7641" max="7641" width="31.7109375" style="227" bestFit="1" customWidth="1"/>
    <col min="7642" max="7642" width="28.5703125" style="227" customWidth="1"/>
    <col min="7643" max="7643" width="29.140625" style="227" customWidth="1"/>
    <col min="7644" max="7644" width="16" style="227" bestFit="1" customWidth="1"/>
    <col min="7645" max="7645" width="15" style="227" customWidth="1"/>
    <col min="7646" max="7646" width="13.85546875" style="227" customWidth="1"/>
    <col min="7647" max="7647" width="16.85546875" style="227" customWidth="1"/>
    <col min="7648" max="7648" width="15.7109375" style="227" bestFit="1" customWidth="1"/>
    <col min="7649" max="7650" width="12.28515625" style="227" bestFit="1" customWidth="1"/>
    <col min="7651" max="7651" width="15.5703125" style="227" bestFit="1" customWidth="1"/>
    <col min="7652" max="7652" width="13.42578125" style="227" bestFit="1" customWidth="1"/>
    <col min="7653" max="7653" width="14" style="227" bestFit="1" customWidth="1"/>
    <col min="7654" max="7654" width="13.7109375" style="227" bestFit="1" customWidth="1"/>
    <col min="7655" max="7655" width="15.85546875" style="227" bestFit="1" customWidth="1"/>
    <col min="7656" max="7659" width="15.85546875" style="227" customWidth="1"/>
    <col min="7660" max="7660" width="12.42578125" style="227" bestFit="1" customWidth="1"/>
    <col min="7661" max="7663" width="12.42578125" style="227" customWidth="1"/>
    <col min="7664" max="7664" width="15.85546875" style="227" bestFit="1" customWidth="1"/>
    <col min="7665" max="7665" width="24.28515625" style="227" bestFit="1" customWidth="1"/>
    <col min="7666" max="7666" width="13.42578125" style="227" bestFit="1" customWidth="1"/>
    <col min="7667" max="7891" width="9.140625" style="227"/>
    <col min="7892" max="7892" width="13.28515625" style="227" bestFit="1" customWidth="1"/>
    <col min="7893" max="7893" width="10.140625" style="227" customWidth="1"/>
    <col min="7894" max="7894" width="14.42578125" style="227" customWidth="1"/>
    <col min="7895" max="7895" width="11.5703125" style="227" customWidth="1"/>
    <col min="7896" max="7896" width="10.85546875" style="227" customWidth="1"/>
    <col min="7897" max="7897" width="31.7109375" style="227" bestFit="1" customWidth="1"/>
    <col min="7898" max="7898" width="28.5703125" style="227" customWidth="1"/>
    <col min="7899" max="7899" width="29.140625" style="227" customWidth="1"/>
    <col min="7900" max="7900" width="16" style="227" bestFit="1" customWidth="1"/>
    <col min="7901" max="7901" width="15" style="227" customWidth="1"/>
    <col min="7902" max="7902" width="13.85546875" style="227" customWidth="1"/>
    <col min="7903" max="7903" width="16.85546875" style="227" customWidth="1"/>
    <col min="7904" max="7904" width="15.7109375" style="227" bestFit="1" customWidth="1"/>
    <col min="7905" max="7906" width="12.28515625" style="227" bestFit="1" customWidth="1"/>
    <col min="7907" max="7907" width="15.5703125" style="227" bestFit="1" customWidth="1"/>
    <col min="7908" max="7908" width="13.42578125" style="227" bestFit="1" customWidth="1"/>
    <col min="7909" max="7909" width="14" style="227" bestFit="1" customWidth="1"/>
    <col min="7910" max="7910" width="13.7109375" style="227" bestFit="1" customWidth="1"/>
    <col min="7911" max="7911" width="15.85546875" style="227" bestFit="1" customWidth="1"/>
    <col min="7912" max="7915" width="15.85546875" style="227" customWidth="1"/>
    <col min="7916" max="7916" width="12.42578125" style="227" bestFit="1" customWidth="1"/>
    <col min="7917" max="7919" width="12.42578125" style="227" customWidth="1"/>
    <col min="7920" max="7920" width="15.85546875" style="227" bestFit="1" customWidth="1"/>
    <col min="7921" max="7921" width="24.28515625" style="227" bestFit="1" customWidth="1"/>
    <col min="7922" max="7922" width="13.42578125" style="227" bestFit="1" customWidth="1"/>
    <col min="7923" max="8147" width="9.140625" style="227"/>
    <col min="8148" max="8148" width="13.28515625" style="227" bestFit="1" customWidth="1"/>
    <col min="8149" max="8149" width="10.140625" style="227" customWidth="1"/>
    <col min="8150" max="8150" width="14.42578125" style="227" customWidth="1"/>
    <col min="8151" max="8151" width="11.5703125" style="227" customWidth="1"/>
    <col min="8152" max="8152" width="10.85546875" style="227" customWidth="1"/>
    <col min="8153" max="8153" width="31.7109375" style="227" bestFit="1" customWidth="1"/>
    <col min="8154" max="8154" width="28.5703125" style="227" customWidth="1"/>
    <col min="8155" max="8155" width="29.140625" style="227" customWidth="1"/>
    <col min="8156" max="8156" width="16" style="227" bestFit="1" customWidth="1"/>
    <col min="8157" max="8157" width="15" style="227" customWidth="1"/>
    <col min="8158" max="8158" width="13.85546875" style="227" customWidth="1"/>
    <col min="8159" max="8159" width="16.85546875" style="227" customWidth="1"/>
    <col min="8160" max="8160" width="15.7109375" style="227" bestFit="1" customWidth="1"/>
    <col min="8161" max="8162" width="12.28515625" style="227" bestFit="1" customWidth="1"/>
    <col min="8163" max="8163" width="15.5703125" style="227" bestFit="1" customWidth="1"/>
    <col min="8164" max="8164" width="13.42578125" style="227" bestFit="1" customWidth="1"/>
    <col min="8165" max="8165" width="14" style="227" bestFit="1" customWidth="1"/>
    <col min="8166" max="8166" width="13.7109375" style="227" bestFit="1" customWidth="1"/>
    <col min="8167" max="8167" width="15.85546875" style="227" bestFit="1" customWidth="1"/>
    <col min="8168" max="8171" width="15.85546875" style="227" customWidth="1"/>
    <col min="8172" max="8172" width="12.42578125" style="227" bestFit="1" customWidth="1"/>
    <col min="8173" max="8175" width="12.42578125" style="227" customWidth="1"/>
    <col min="8176" max="8176" width="15.85546875" style="227" bestFit="1" customWidth="1"/>
    <col min="8177" max="8177" width="24.28515625" style="227" bestFit="1" customWidth="1"/>
    <col min="8178" max="8178" width="13.42578125" style="227" bestFit="1" customWidth="1"/>
    <col min="8179" max="8403" width="9.140625" style="227"/>
    <col min="8404" max="8404" width="13.28515625" style="227" bestFit="1" customWidth="1"/>
    <col min="8405" max="8405" width="10.140625" style="227" customWidth="1"/>
    <col min="8406" max="8406" width="14.42578125" style="227" customWidth="1"/>
    <col min="8407" max="8407" width="11.5703125" style="227" customWidth="1"/>
    <col min="8408" max="8408" width="10.85546875" style="227" customWidth="1"/>
    <col min="8409" max="8409" width="31.7109375" style="227" bestFit="1" customWidth="1"/>
    <col min="8410" max="8410" width="28.5703125" style="227" customWidth="1"/>
    <col min="8411" max="8411" width="29.140625" style="227" customWidth="1"/>
    <col min="8412" max="8412" width="16" style="227" bestFit="1" customWidth="1"/>
    <col min="8413" max="8413" width="15" style="227" customWidth="1"/>
    <col min="8414" max="8414" width="13.85546875" style="227" customWidth="1"/>
    <col min="8415" max="8415" width="16.85546875" style="227" customWidth="1"/>
    <col min="8416" max="8416" width="15.7109375" style="227" bestFit="1" customWidth="1"/>
    <col min="8417" max="8418" width="12.28515625" style="227" bestFit="1" customWidth="1"/>
    <col min="8419" max="8419" width="15.5703125" style="227" bestFit="1" customWidth="1"/>
    <col min="8420" max="8420" width="13.42578125" style="227" bestFit="1" customWidth="1"/>
    <col min="8421" max="8421" width="14" style="227" bestFit="1" customWidth="1"/>
    <col min="8422" max="8422" width="13.7109375" style="227" bestFit="1" customWidth="1"/>
    <col min="8423" max="8423" width="15.85546875" style="227" bestFit="1" customWidth="1"/>
    <col min="8424" max="8427" width="15.85546875" style="227" customWidth="1"/>
    <col min="8428" max="8428" width="12.42578125" style="227" bestFit="1" customWidth="1"/>
    <col min="8429" max="8431" width="12.42578125" style="227" customWidth="1"/>
    <col min="8432" max="8432" width="15.85546875" style="227" bestFit="1" customWidth="1"/>
    <col min="8433" max="8433" width="24.28515625" style="227" bestFit="1" customWidth="1"/>
    <col min="8434" max="8434" width="13.42578125" style="227" bestFit="1" customWidth="1"/>
    <col min="8435" max="8659" width="9.140625" style="227"/>
    <col min="8660" max="8660" width="13.28515625" style="227" bestFit="1" customWidth="1"/>
    <col min="8661" max="8661" width="10.140625" style="227" customWidth="1"/>
    <col min="8662" max="8662" width="14.42578125" style="227" customWidth="1"/>
    <col min="8663" max="8663" width="11.5703125" style="227" customWidth="1"/>
    <col min="8664" max="8664" width="10.85546875" style="227" customWidth="1"/>
    <col min="8665" max="8665" width="31.7109375" style="227" bestFit="1" customWidth="1"/>
    <col min="8666" max="8666" width="28.5703125" style="227" customWidth="1"/>
    <col min="8667" max="8667" width="29.140625" style="227" customWidth="1"/>
    <col min="8668" max="8668" width="16" style="227" bestFit="1" customWidth="1"/>
    <col min="8669" max="8669" width="15" style="227" customWidth="1"/>
    <col min="8670" max="8670" width="13.85546875" style="227" customWidth="1"/>
    <col min="8671" max="8671" width="16.85546875" style="227" customWidth="1"/>
    <col min="8672" max="8672" width="15.7109375" style="227" bestFit="1" customWidth="1"/>
    <col min="8673" max="8674" width="12.28515625" style="227" bestFit="1" customWidth="1"/>
    <col min="8675" max="8675" width="15.5703125" style="227" bestFit="1" customWidth="1"/>
    <col min="8676" max="8676" width="13.42578125" style="227" bestFit="1" customWidth="1"/>
    <col min="8677" max="8677" width="14" style="227" bestFit="1" customWidth="1"/>
    <col min="8678" max="8678" width="13.7109375" style="227" bestFit="1" customWidth="1"/>
    <col min="8679" max="8679" width="15.85546875" style="227" bestFit="1" customWidth="1"/>
    <col min="8680" max="8683" width="15.85546875" style="227" customWidth="1"/>
    <col min="8684" max="8684" width="12.42578125" style="227" bestFit="1" customWidth="1"/>
    <col min="8685" max="8687" width="12.42578125" style="227" customWidth="1"/>
    <col min="8688" max="8688" width="15.85546875" style="227" bestFit="1" customWidth="1"/>
    <col min="8689" max="8689" width="24.28515625" style="227" bestFit="1" customWidth="1"/>
    <col min="8690" max="8690" width="13.42578125" style="227" bestFit="1" customWidth="1"/>
    <col min="8691" max="8915" width="9.140625" style="227"/>
    <col min="8916" max="8916" width="13.28515625" style="227" bestFit="1" customWidth="1"/>
    <col min="8917" max="8917" width="10.140625" style="227" customWidth="1"/>
    <col min="8918" max="8918" width="14.42578125" style="227" customWidth="1"/>
    <col min="8919" max="8919" width="11.5703125" style="227" customWidth="1"/>
    <col min="8920" max="8920" width="10.85546875" style="227" customWidth="1"/>
    <col min="8921" max="8921" width="31.7109375" style="227" bestFit="1" customWidth="1"/>
    <col min="8922" max="8922" width="28.5703125" style="227" customWidth="1"/>
    <col min="8923" max="8923" width="29.140625" style="227" customWidth="1"/>
    <col min="8924" max="8924" width="16" style="227" bestFit="1" customWidth="1"/>
    <col min="8925" max="8925" width="15" style="227" customWidth="1"/>
    <col min="8926" max="8926" width="13.85546875" style="227" customWidth="1"/>
    <col min="8927" max="8927" width="16.85546875" style="227" customWidth="1"/>
    <col min="8928" max="8928" width="15.7109375" style="227" bestFit="1" customWidth="1"/>
    <col min="8929" max="8930" width="12.28515625" style="227" bestFit="1" customWidth="1"/>
    <col min="8931" max="8931" width="15.5703125" style="227" bestFit="1" customWidth="1"/>
    <col min="8932" max="8932" width="13.42578125" style="227" bestFit="1" customWidth="1"/>
    <col min="8933" max="8933" width="14" style="227" bestFit="1" customWidth="1"/>
    <col min="8934" max="8934" width="13.7109375" style="227" bestFit="1" customWidth="1"/>
    <col min="8935" max="8935" width="15.85546875" style="227" bestFit="1" customWidth="1"/>
    <col min="8936" max="8939" width="15.85546875" style="227" customWidth="1"/>
    <col min="8940" max="8940" width="12.42578125" style="227" bestFit="1" customWidth="1"/>
    <col min="8941" max="8943" width="12.42578125" style="227" customWidth="1"/>
    <col min="8944" max="8944" width="15.85546875" style="227" bestFit="1" customWidth="1"/>
    <col min="8945" max="8945" width="24.28515625" style="227" bestFit="1" customWidth="1"/>
    <col min="8946" max="8946" width="13.42578125" style="227" bestFit="1" customWidth="1"/>
    <col min="8947" max="9171" width="9.140625" style="227"/>
    <col min="9172" max="9172" width="13.28515625" style="227" bestFit="1" customWidth="1"/>
    <col min="9173" max="9173" width="10.140625" style="227" customWidth="1"/>
    <col min="9174" max="9174" width="14.42578125" style="227" customWidth="1"/>
    <col min="9175" max="9175" width="11.5703125" style="227" customWidth="1"/>
    <col min="9176" max="9176" width="10.85546875" style="227" customWidth="1"/>
    <col min="9177" max="9177" width="31.7109375" style="227" bestFit="1" customWidth="1"/>
    <col min="9178" max="9178" width="28.5703125" style="227" customWidth="1"/>
    <col min="9179" max="9179" width="29.140625" style="227" customWidth="1"/>
    <col min="9180" max="9180" width="16" style="227" bestFit="1" customWidth="1"/>
    <col min="9181" max="9181" width="15" style="227" customWidth="1"/>
    <col min="9182" max="9182" width="13.85546875" style="227" customWidth="1"/>
    <col min="9183" max="9183" width="16.85546875" style="227" customWidth="1"/>
    <col min="9184" max="9184" width="15.7109375" style="227" bestFit="1" customWidth="1"/>
    <col min="9185" max="9186" width="12.28515625" style="227" bestFit="1" customWidth="1"/>
    <col min="9187" max="9187" width="15.5703125" style="227" bestFit="1" customWidth="1"/>
    <col min="9188" max="9188" width="13.42578125" style="227" bestFit="1" customWidth="1"/>
    <col min="9189" max="9189" width="14" style="227" bestFit="1" customWidth="1"/>
    <col min="9190" max="9190" width="13.7109375" style="227" bestFit="1" customWidth="1"/>
    <col min="9191" max="9191" width="15.85546875" style="227" bestFit="1" customWidth="1"/>
    <col min="9192" max="9195" width="15.85546875" style="227" customWidth="1"/>
    <col min="9196" max="9196" width="12.42578125" style="227" bestFit="1" customWidth="1"/>
    <col min="9197" max="9199" width="12.42578125" style="227" customWidth="1"/>
    <col min="9200" max="9200" width="15.85546875" style="227" bestFit="1" customWidth="1"/>
    <col min="9201" max="9201" width="24.28515625" style="227" bestFit="1" customWidth="1"/>
    <col min="9202" max="9202" width="13.42578125" style="227" bestFit="1" customWidth="1"/>
    <col min="9203" max="9427" width="9.140625" style="227"/>
    <col min="9428" max="9428" width="13.28515625" style="227" bestFit="1" customWidth="1"/>
    <col min="9429" max="9429" width="10.140625" style="227" customWidth="1"/>
    <col min="9430" max="9430" width="14.42578125" style="227" customWidth="1"/>
    <col min="9431" max="9431" width="11.5703125" style="227" customWidth="1"/>
    <col min="9432" max="9432" width="10.85546875" style="227" customWidth="1"/>
    <col min="9433" max="9433" width="31.7109375" style="227" bestFit="1" customWidth="1"/>
    <col min="9434" max="9434" width="28.5703125" style="227" customWidth="1"/>
    <col min="9435" max="9435" width="29.140625" style="227" customWidth="1"/>
    <col min="9436" max="9436" width="16" style="227" bestFit="1" customWidth="1"/>
    <col min="9437" max="9437" width="15" style="227" customWidth="1"/>
    <col min="9438" max="9438" width="13.85546875" style="227" customWidth="1"/>
    <col min="9439" max="9439" width="16.85546875" style="227" customWidth="1"/>
    <col min="9440" max="9440" width="15.7109375" style="227" bestFit="1" customWidth="1"/>
    <col min="9441" max="9442" width="12.28515625" style="227" bestFit="1" customWidth="1"/>
    <col min="9443" max="9443" width="15.5703125" style="227" bestFit="1" customWidth="1"/>
    <col min="9444" max="9444" width="13.42578125" style="227" bestFit="1" customWidth="1"/>
    <col min="9445" max="9445" width="14" style="227" bestFit="1" customWidth="1"/>
    <col min="9446" max="9446" width="13.7109375" style="227" bestFit="1" customWidth="1"/>
    <col min="9447" max="9447" width="15.85546875" style="227" bestFit="1" customWidth="1"/>
    <col min="9448" max="9451" width="15.85546875" style="227" customWidth="1"/>
    <col min="9452" max="9452" width="12.42578125" style="227" bestFit="1" customWidth="1"/>
    <col min="9453" max="9455" width="12.42578125" style="227" customWidth="1"/>
    <col min="9456" max="9456" width="15.85546875" style="227" bestFit="1" customWidth="1"/>
    <col min="9457" max="9457" width="24.28515625" style="227" bestFit="1" customWidth="1"/>
    <col min="9458" max="9458" width="13.42578125" style="227" bestFit="1" customWidth="1"/>
    <col min="9459" max="9683" width="9.140625" style="227"/>
    <col min="9684" max="9684" width="13.28515625" style="227" bestFit="1" customWidth="1"/>
    <col min="9685" max="9685" width="10.140625" style="227" customWidth="1"/>
    <col min="9686" max="9686" width="14.42578125" style="227" customWidth="1"/>
    <col min="9687" max="9687" width="11.5703125" style="227" customWidth="1"/>
    <col min="9688" max="9688" width="10.85546875" style="227" customWidth="1"/>
    <col min="9689" max="9689" width="31.7109375" style="227" bestFit="1" customWidth="1"/>
    <col min="9690" max="9690" width="28.5703125" style="227" customWidth="1"/>
    <col min="9691" max="9691" width="29.140625" style="227" customWidth="1"/>
    <col min="9692" max="9692" width="16" style="227" bestFit="1" customWidth="1"/>
    <col min="9693" max="9693" width="15" style="227" customWidth="1"/>
    <col min="9694" max="9694" width="13.85546875" style="227" customWidth="1"/>
    <col min="9695" max="9695" width="16.85546875" style="227" customWidth="1"/>
    <col min="9696" max="9696" width="15.7109375" style="227" bestFit="1" customWidth="1"/>
    <col min="9697" max="9698" width="12.28515625" style="227" bestFit="1" customWidth="1"/>
    <col min="9699" max="9699" width="15.5703125" style="227" bestFit="1" customWidth="1"/>
    <col min="9700" max="9700" width="13.42578125" style="227" bestFit="1" customWidth="1"/>
    <col min="9701" max="9701" width="14" style="227" bestFit="1" customWidth="1"/>
    <col min="9702" max="9702" width="13.7109375" style="227" bestFit="1" customWidth="1"/>
    <col min="9703" max="9703" width="15.85546875" style="227" bestFit="1" customWidth="1"/>
    <col min="9704" max="9707" width="15.85546875" style="227" customWidth="1"/>
    <col min="9708" max="9708" width="12.42578125" style="227" bestFit="1" customWidth="1"/>
    <col min="9709" max="9711" width="12.42578125" style="227" customWidth="1"/>
    <col min="9712" max="9712" width="15.85546875" style="227" bestFit="1" customWidth="1"/>
    <col min="9713" max="9713" width="24.28515625" style="227" bestFit="1" customWidth="1"/>
    <col min="9714" max="9714" width="13.42578125" style="227" bestFit="1" customWidth="1"/>
    <col min="9715" max="9939" width="9.140625" style="227"/>
    <col min="9940" max="9940" width="13.28515625" style="227" bestFit="1" customWidth="1"/>
    <col min="9941" max="9941" width="10.140625" style="227" customWidth="1"/>
    <col min="9942" max="9942" width="14.42578125" style="227" customWidth="1"/>
    <col min="9943" max="9943" width="11.5703125" style="227" customWidth="1"/>
    <col min="9944" max="9944" width="10.85546875" style="227" customWidth="1"/>
    <col min="9945" max="9945" width="31.7109375" style="227" bestFit="1" customWidth="1"/>
    <col min="9946" max="9946" width="28.5703125" style="227" customWidth="1"/>
    <col min="9947" max="9947" width="29.140625" style="227" customWidth="1"/>
    <col min="9948" max="9948" width="16" style="227" bestFit="1" customWidth="1"/>
    <col min="9949" max="9949" width="15" style="227" customWidth="1"/>
    <col min="9950" max="9950" width="13.85546875" style="227" customWidth="1"/>
    <col min="9951" max="9951" width="16.85546875" style="227" customWidth="1"/>
    <col min="9952" max="9952" width="15.7109375" style="227" bestFit="1" customWidth="1"/>
    <col min="9953" max="9954" width="12.28515625" style="227" bestFit="1" customWidth="1"/>
    <col min="9955" max="9955" width="15.5703125" style="227" bestFit="1" customWidth="1"/>
    <col min="9956" max="9956" width="13.42578125" style="227" bestFit="1" customWidth="1"/>
    <col min="9957" max="9957" width="14" style="227" bestFit="1" customWidth="1"/>
    <col min="9958" max="9958" width="13.7109375" style="227" bestFit="1" customWidth="1"/>
    <col min="9959" max="9959" width="15.85546875" style="227" bestFit="1" customWidth="1"/>
    <col min="9960" max="9963" width="15.85546875" style="227" customWidth="1"/>
    <col min="9964" max="9964" width="12.42578125" style="227" bestFit="1" customWidth="1"/>
    <col min="9965" max="9967" width="12.42578125" style="227" customWidth="1"/>
    <col min="9968" max="9968" width="15.85546875" style="227" bestFit="1" customWidth="1"/>
    <col min="9969" max="9969" width="24.28515625" style="227" bestFit="1" customWidth="1"/>
    <col min="9970" max="9970" width="13.42578125" style="227" bestFit="1" customWidth="1"/>
    <col min="9971" max="10195" width="9.140625" style="227"/>
    <col min="10196" max="10196" width="13.28515625" style="227" bestFit="1" customWidth="1"/>
    <col min="10197" max="10197" width="10.140625" style="227" customWidth="1"/>
    <col min="10198" max="10198" width="14.42578125" style="227" customWidth="1"/>
    <col min="10199" max="10199" width="11.5703125" style="227" customWidth="1"/>
    <col min="10200" max="10200" width="10.85546875" style="227" customWidth="1"/>
    <col min="10201" max="10201" width="31.7109375" style="227" bestFit="1" customWidth="1"/>
    <col min="10202" max="10202" width="28.5703125" style="227" customWidth="1"/>
    <col min="10203" max="10203" width="29.140625" style="227" customWidth="1"/>
    <col min="10204" max="10204" width="16" style="227" bestFit="1" customWidth="1"/>
    <col min="10205" max="10205" width="15" style="227" customWidth="1"/>
    <col min="10206" max="10206" width="13.85546875" style="227" customWidth="1"/>
    <col min="10207" max="10207" width="16.85546875" style="227" customWidth="1"/>
    <col min="10208" max="10208" width="15.7109375" style="227" bestFit="1" customWidth="1"/>
    <col min="10209" max="10210" width="12.28515625" style="227" bestFit="1" customWidth="1"/>
    <col min="10211" max="10211" width="15.5703125" style="227" bestFit="1" customWidth="1"/>
    <col min="10212" max="10212" width="13.42578125" style="227" bestFit="1" customWidth="1"/>
    <col min="10213" max="10213" width="14" style="227" bestFit="1" customWidth="1"/>
    <col min="10214" max="10214" width="13.7109375" style="227" bestFit="1" customWidth="1"/>
    <col min="10215" max="10215" width="15.85546875" style="227" bestFit="1" customWidth="1"/>
    <col min="10216" max="10219" width="15.85546875" style="227" customWidth="1"/>
    <col min="10220" max="10220" width="12.42578125" style="227" bestFit="1" customWidth="1"/>
    <col min="10221" max="10223" width="12.42578125" style="227" customWidth="1"/>
    <col min="10224" max="10224" width="15.85546875" style="227" bestFit="1" customWidth="1"/>
    <col min="10225" max="10225" width="24.28515625" style="227" bestFit="1" customWidth="1"/>
    <col min="10226" max="10226" width="13.42578125" style="227" bestFit="1" customWidth="1"/>
    <col min="10227" max="10451" width="9.140625" style="227"/>
    <col min="10452" max="10452" width="13.28515625" style="227" bestFit="1" customWidth="1"/>
    <col min="10453" max="10453" width="10.140625" style="227" customWidth="1"/>
    <col min="10454" max="10454" width="14.42578125" style="227" customWidth="1"/>
    <col min="10455" max="10455" width="11.5703125" style="227" customWidth="1"/>
    <col min="10456" max="10456" width="10.85546875" style="227" customWidth="1"/>
    <col min="10457" max="10457" width="31.7109375" style="227" bestFit="1" customWidth="1"/>
    <col min="10458" max="10458" width="28.5703125" style="227" customWidth="1"/>
    <col min="10459" max="10459" width="29.140625" style="227" customWidth="1"/>
    <col min="10460" max="10460" width="16" style="227" bestFit="1" customWidth="1"/>
    <col min="10461" max="10461" width="15" style="227" customWidth="1"/>
    <col min="10462" max="10462" width="13.85546875" style="227" customWidth="1"/>
    <col min="10463" max="10463" width="16.85546875" style="227" customWidth="1"/>
    <col min="10464" max="10464" width="15.7109375" style="227" bestFit="1" customWidth="1"/>
    <col min="10465" max="10466" width="12.28515625" style="227" bestFit="1" customWidth="1"/>
    <col min="10467" max="10467" width="15.5703125" style="227" bestFit="1" customWidth="1"/>
    <col min="10468" max="10468" width="13.42578125" style="227" bestFit="1" customWidth="1"/>
    <col min="10469" max="10469" width="14" style="227" bestFit="1" customWidth="1"/>
    <col min="10470" max="10470" width="13.7109375" style="227" bestFit="1" customWidth="1"/>
    <col min="10471" max="10471" width="15.85546875" style="227" bestFit="1" customWidth="1"/>
    <col min="10472" max="10475" width="15.85546875" style="227" customWidth="1"/>
    <col min="10476" max="10476" width="12.42578125" style="227" bestFit="1" customWidth="1"/>
    <col min="10477" max="10479" width="12.42578125" style="227" customWidth="1"/>
    <col min="10480" max="10480" width="15.85546875" style="227" bestFit="1" customWidth="1"/>
    <col min="10481" max="10481" width="24.28515625" style="227" bestFit="1" customWidth="1"/>
    <col min="10482" max="10482" width="13.42578125" style="227" bestFit="1" customWidth="1"/>
    <col min="10483" max="10707" width="9.140625" style="227"/>
    <col min="10708" max="10708" width="13.28515625" style="227" bestFit="1" customWidth="1"/>
    <col min="10709" max="10709" width="10.140625" style="227" customWidth="1"/>
    <col min="10710" max="10710" width="14.42578125" style="227" customWidth="1"/>
    <col min="10711" max="10711" width="11.5703125" style="227" customWidth="1"/>
    <col min="10712" max="10712" width="10.85546875" style="227" customWidth="1"/>
    <col min="10713" max="10713" width="31.7109375" style="227" bestFit="1" customWidth="1"/>
    <col min="10714" max="10714" width="28.5703125" style="227" customWidth="1"/>
    <col min="10715" max="10715" width="29.140625" style="227" customWidth="1"/>
    <col min="10716" max="10716" width="16" style="227" bestFit="1" customWidth="1"/>
    <col min="10717" max="10717" width="15" style="227" customWidth="1"/>
    <col min="10718" max="10718" width="13.85546875" style="227" customWidth="1"/>
    <col min="10719" max="10719" width="16.85546875" style="227" customWidth="1"/>
    <col min="10720" max="10720" width="15.7109375" style="227" bestFit="1" customWidth="1"/>
    <col min="10721" max="10722" width="12.28515625" style="227" bestFit="1" customWidth="1"/>
    <col min="10723" max="10723" width="15.5703125" style="227" bestFit="1" customWidth="1"/>
    <col min="10724" max="10724" width="13.42578125" style="227" bestFit="1" customWidth="1"/>
    <col min="10725" max="10725" width="14" style="227" bestFit="1" customWidth="1"/>
    <col min="10726" max="10726" width="13.7109375" style="227" bestFit="1" customWidth="1"/>
    <col min="10727" max="10727" width="15.85546875" style="227" bestFit="1" customWidth="1"/>
    <col min="10728" max="10731" width="15.85546875" style="227" customWidth="1"/>
    <col min="10732" max="10732" width="12.42578125" style="227" bestFit="1" customWidth="1"/>
    <col min="10733" max="10735" width="12.42578125" style="227" customWidth="1"/>
    <col min="10736" max="10736" width="15.85546875" style="227" bestFit="1" customWidth="1"/>
    <col min="10737" max="10737" width="24.28515625" style="227" bestFit="1" customWidth="1"/>
    <col min="10738" max="10738" width="13.42578125" style="227" bestFit="1" customWidth="1"/>
    <col min="10739" max="10963" width="9.140625" style="227"/>
    <col min="10964" max="10964" width="13.28515625" style="227" bestFit="1" customWidth="1"/>
    <col min="10965" max="10965" width="10.140625" style="227" customWidth="1"/>
    <col min="10966" max="10966" width="14.42578125" style="227" customWidth="1"/>
    <col min="10967" max="10967" width="11.5703125" style="227" customWidth="1"/>
    <col min="10968" max="10968" width="10.85546875" style="227" customWidth="1"/>
    <col min="10969" max="10969" width="31.7109375" style="227" bestFit="1" customWidth="1"/>
    <col min="10970" max="10970" width="28.5703125" style="227" customWidth="1"/>
    <col min="10971" max="10971" width="29.140625" style="227" customWidth="1"/>
    <col min="10972" max="10972" width="16" style="227" bestFit="1" customWidth="1"/>
    <col min="10973" max="10973" width="15" style="227" customWidth="1"/>
    <col min="10974" max="10974" width="13.85546875" style="227" customWidth="1"/>
    <col min="10975" max="10975" width="16.85546875" style="227" customWidth="1"/>
    <col min="10976" max="10976" width="15.7109375" style="227" bestFit="1" customWidth="1"/>
    <col min="10977" max="10978" width="12.28515625" style="227" bestFit="1" customWidth="1"/>
    <col min="10979" max="10979" width="15.5703125" style="227" bestFit="1" customWidth="1"/>
    <col min="10980" max="10980" width="13.42578125" style="227" bestFit="1" customWidth="1"/>
    <col min="10981" max="10981" width="14" style="227" bestFit="1" customWidth="1"/>
    <col min="10982" max="10982" width="13.7109375" style="227" bestFit="1" customWidth="1"/>
    <col min="10983" max="10983" width="15.85546875" style="227" bestFit="1" customWidth="1"/>
    <col min="10984" max="10987" width="15.85546875" style="227" customWidth="1"/>
    <col min="10988" max="10988" width="12.42578125" style="227" bestFit="1" customWidth="1"/>
    <col min="10989" max="10991" width="12.42578125" style="227" customWidth="1"/>
    <col min="10992" max="10992" width="15.85546875" style="227" bestFit="1" customWidth="1"/>
    <col min="10993" max="10993" width="24.28515625" style="227" bestFit="1" customWidth="1"/>
    <col min="10994" max="10994" width="13.42578125" style="227" bestFit="1" customWidth="1"/>
    <col min="10995" max="11219" width="9.140625" style="227"/>
    <col min="11220" max="11220" width="13.28515625" style="227" bestFit="1" customWidth="1"/>
    <col min="11221" max="11221" width="10.140625" style="227" customWidth="1"/>
    <col min="11222" max="11222" width="14.42578125" style="227" customWidth="1"/>
    <col min="11223" max="11223" width="11.5703125" style="227" customWidth="1"/>
    <col min="11224" max="11224" width="10.85546875" style="227" customWidth="1"/>
    <col min="11225" max="11225" width="31.7109375" style="227" bestFit="1" customWidth="1"/>
    <col min="11226" max="11226" width="28.5703125" style="227" customWidth="1"/>
    <col min="11227" max="11227" width="29.140625" style="227" customWidth="1"/>
    <col min="11228" max="11228" width="16" style="227" bestFit="1" customWidth="1"/>
    <col min="11229" max="11229" width="15" style="227" customWidth="1"/>
    <col min="11230" max="11230" width="13.85546875" style="227" customWidth="1"/>
    <col min="11231" max="11231" width="16.85546875" style="227" customWidth="1"/>
    <col min="11232" max="11232" width="15.7109375" style="227" bestFit="1" customWidth="1"/>
    <col min="11233" max="11234" width="12.28515625" style="227" bestFit="1" customWidth="1"/>
    <col min="11235" max="11235" width="15.5703125" style="227" bestFit="1" customWidth="1"/>
    <col min="11236" max="11236" width="13.42578125" style="227" bestFit="1" customWidth="1"/>
    <col min="11237" max="11237" width="14" style="227" bestFit="1" customWidth="1"/>
    <col min="11238" max="11238" width="13.7109375" style="227" bestFit="1" customWidth="1"/>
    <col min="11239" max="11239" width="15.85546875" style="227" bestFit="1" customWidth="1"/>
    <col min="11240" max="11243" width="15.85546875" style="227" customWidth="1"/>
    <col min="11244" max="11244" width="12.42578125" style="227" bestFit="1" customWidth="1"/>
    <col min="11245" max="11247" width="12.42578125" style="227" customWidth="1"/>
    <col min="11248" max="11248" width="15.85546875" style="227" bestFit="1" customWidth="1"/>
    <col min="11249" max="11249" width="24.28515625" style="227" bestFit="1" customWidth="1"/>
    <col min="11250" max="11250" width="13.42578125" style="227" bestFit="1" customWidth="1"/>
    <col min="11251" max="11475" width="9.140625" style="227"/>
    <col min="11476" max="11476" width="13.28515625" style="227" bestFit="1" customWidth="1"/>
    <col min="11477" max="11477" width="10.140625" style="227" customWidth="1"/>
    <col min="11478" max="11478" width="14.42578125" style="227" customWidth="1"/>
    <col min="11479" max="11479" width="11.5703125" style="227" customWidth="1"/>
    <col min="11480" max="11480" width="10.85546875" style="227" customWidth="1"/>
    <col min="11481" max="11481" width="31.7109375" style="227" bestFit="1" customWidth="1"/>
    <col min="11482" max="11482" width="28.5703125" style="227" customWidth="1"/>
    <col min="11483" max="11483" width="29.140625" style="227" customWidth="1"/>
    <col min="11484" max="11484" width="16" style="227" bestFit="1" customWidth="1"/>
    <col min="11485" max="11485" width="15" style="227" customWidth="1"/>
    <col min="11486" max="11486" width="13.85546875" style="227" customWidth="1"/>
    <col min="11487" max="11487" width="16.85546875" style="227" customWidth="1"/>
    <col min="11488" max="11488" width="15.7109375" style="227" bestFit="1" customWidth="1"/>
    <col min="11489" max="11490" width="12.28515625" style="227" bestFit="1" customWidth="1"/>
    <col min="11491" max="11491" width="15.5703125" style="227" bestFit="1" customWidth="1"/>
    <col min="11492" max="11492" width="13.42578125" style="227" bestFit="1" customWidth="1"/>
    <col min="11493" max="11493" width="14" style="227" bestFit="1" customWidth="1"/>
    <col min="11494" max="11494" width="13.7109375" style="227" bestFit="1" customWidth="1"/>
    <col min="11495" max="11495" width="15.85546875" style="227" bestFit="1" customWidth="1"/>
    <col min="11496" max="11499" width="15.85546875" style="227" customWidth="1"/>
    <col min="11500" max="11500" width="12.42578125" style="227" bestFit="1" customWidth="1"/>
    <col min="11501" max="11503" width="12.42578125" style="227" customWidth="1"/>
    <col min="11504" max="11504" width="15.85546875" style="227" bestFit="1" customWidth="1"/>
    <col min="11505" max="11505" width="24.28515625" style="227" bestFit="1" customWidth="1"/>
    <col min="11506" max="11506" width="13.42578125" style="227" bestFit="1" customWidth="1"/>
    <col min="11507" max="11731" width="9.140625" style="227"/>
    <col min="11732" max="11732" width="13.28515625" style="227" bestFit="1" customWidth="1"/>
    <col min="11733" max="11733" width="10.140625" style="227" customWidth="1"/>
    <col min="11734" max="11734" width="14.42578125" style="227" customWidth="1"/>
    <col min="11735" max="11735" width="11.5703125" style="227" customWidth="1"/>
    <col min="11736" max="11736" width="10.85546875" style="227" customWidth="1"/>
    <col min="11737" max="11737" width="31.7109375" style="227" bestFit="1" customWidth="1"/>
    <col min="11738" max="11738" width="28.5703125" style="227" customWidth="1"/>
    <col min="11739" max="11739" width="29.140625" style="227" customWidth="1"/>
    <col min="11740" max="11740" width="16" style="227" bestFit="1" customWidth="1"/>
    <col min="11741" max="11741" width="15" style="227" customWidth="1"/>
    <col min="11742" max="11742" width="13.85546875" style="227" customWidth="1"/>
    <col min="11743" max="11743" width="16.85546875" style="227" customWidth="1"/>
    <col min="11744" max="11744" width="15.7109375" style="227" bestFit="1" customWidth="1"/>
    <col min="11745" max="11746" width="12.28515625" style="227" bestFit="1" customWidth="1"/>
    <col min="11747" max="11747" width="15.5703125" style="227" bestFit="1" customWidth="1"/>
    <col min="11748" max="11748" width="13.42578125" style="227" bestFit="1" customWidth="1"/>
    <col min="11749" max="11749" width="14" style="227" bestFit="1" customWidth="1"/>
    <col min="11750" max="11750" width="13.7109375" style="227" bestFit="1" customWidth="1"/>
    <col min="11751" max="11751" width="15.85546875" style="227" bestFit="1" customWidth="1"/>
    <col min="11752" max="11755" width="15.85546875" style="227" customWidth="1"/>
    <col min="11756" max="11756" width="12.42578125" style="227" bestFit="1" customWidth="1"/>
    <col min="11757" max="11759" width="12.42578125" style="227" customWidth="1"/>
    <col min="11760" max="11760" width="15.85546875" style="227" bestFit="1" customWidth="1"/>
    <col min="11761" max="11761" width="24.28515625" style="227" bestFit="1" customWidth="1"/>
    <col min="11762" max="11762" width="13.42578125" style="227" bestFit="1" customWidth="1"/>
    <col min="11763" max="11987" width="9.140625" style="227"/>
    <col min="11988" max="11988" width="13.28515625" style="227" bestFit="1" customWidth="1"/>
    <col min="11989" max="11989" width="10.140625" style="227" customWidth="1"/>
    <col min="11990" max="11990" width="14.42578125" style="227" customWidth="1"/>
    <col min="11991" max="11991" width="11.5703125" style="227" customWidth="1"/>
    <col min="11992" max="11992" width="10.85546875" style="227" customWidth="1"/>
    <col min="11993" max="11993" width="31.7109375" style="227" bestFit="1" customWidth="1"/>
    <col min="11994" max="11994" width="28.5703125" style="227" customWidth="1"/>
    <col min="11995" max="11995" width="29.140625" style="227" customWidth="1"/>
    <col min="11996" max="11996" width="16" style="227" bestFit="1" customWidth="1"/>
    <col min="11997" max="11997" width="15" style="227" customWidth="1"/>
    <col min="11998" max="11998" width="13.85546875" style="227" customWidth="1"/>
    <col min="11999" max="11999" width="16.85546875" style="227" customWidth="1"/>
    <col min="12000" max="12000" width="15.7109375" style="227" bestFit="1" customWidth="1"/>
    <col min="12001" max="12002" width="12.28515625" style="227" bestFit="1" customWidth="1"/>
    <col min="12003" max="12003" width="15.5703125" style="227" bestFit="1" customWidth="1"/>
    <col min="12004" max="12004" width="13.42578125" style="227" bestFit="1" customWidth="1"/>
    <col min="12005" max="12005" width="14" style="227" bestFit="1" customWidth="1"/>
    <col min="12006" max="12006" width="13.7109375" style="227" bestFit="1" customWidth="1"/>
    <col min="12007" max="12007" width="15.85546875" style="227" bestFit="1" customWidth="1"/>
    <col min="12008" max="12011" width="15.85546875" style="227" customWidth="1"/>
    <col min="12012" max="12012" width="12.42578125" style="227" bestFit="1" customWidth="1"/>
    <col min="12013" max="12015" width="12.42578125" style="227" customWidth="1"/>
    <col min="12016" max="12016" width="15.85546875" style="227" bestFit="1" customWidth="1"/>
    <col min="12017" max="12017" width="24.28515625" style="227" bestFit="1" customWidth="1"/>
    <col min="12018" max="12018" width="13.42578125" style="227" bestFit="1" customWidth="1"/>
    <col min="12019" max="12243" width="9.140625" style="227"/>
    <col min="12244" max="12244" width="13.28515625" style="227" bestFit="1" customWidth="1"/>
    <col min="12245" max="12245" width="10.140625" style="227" customWidth="1"/>
    <col min="12246" max="12246" width="14.42578125" style="227" customWidth="1"/>
    <col min="12247" max="12247" width="11.5703125" style="227" customWidth="1"/>
    <col min="12248" max="12248" width="10.85546875" style="227" customWidth="1"/>
    <col min="12249" max="12249" width="31.7109375" style="227" bestFit="1" customWidth="1"/>
    <col min="12250" max="12250" width="28.5703125" style="227" customWidth="1"/>
    <col min="12251" max="12251" width="29.140625" style="227" customWidth="1"/>
    <col min="12252" max="12252" width="16" style="227" bestFit="1" customWidth="1"/>
    <col min="12253" max="12253" width="15" style="227" customWidth="1"/>
    <col min="12254" max="12254" width="13.85546875" style="227" customWidth="1"/>
    <col min="12255" max="12255" width="16.85546875" style="227" customWidth="1"/>
    <col min="12256" max="12256" width="15.7109375" style="227" bestFit="1" customWidth="1"/>
    <col min="12257" max="12258" width="12.28515625" style="227" bestFit="1" customWidth="1"/>
    <col min="12259" max="12259" width="15.5703125" style="227" bestFit="1" customWidth="1"/>
    <col min="12260" max="12260" width="13.42578125" style="227" bestFit="1" customWidth="1"/>
    <col min="12261" max="12261" width="14" style="227" bestFit="1" customWidth="1"/>
    <col min="12262" max="12262" width="13.7109375" style="227" bestFit="1" customWidth="1"/>
    <col min="12263" max="12263" width="15.85546875" style="227" bestFit="1" customWidth="1"/>
    <col min="12264" max="12267" width="15.85546875" style="227" customWidth="1"/>
    <col min="12268" max="12268" width="12.42578125" style="227" bestFit="1" customWidth="1"/>
    <col min="12269" max="12271" width="12.42578125" style="227" customWidth="1"/>
    <col min="12272" max="12272" width="15.85546875" style="227" bestFit="1" customWidth="1"/>
    <col min="12273" max="12273" width="24.28515625" style="227" bestFit="1" customWidth="1"/>
    <col min="12274" max="12274" width="13.42578125" style="227" bestFit="1" customWidth="1"/>
    <col min="12275" max="12499" width="9.140625" style="227"/>
    <col min="12500" max="12500" width="13.28515625" style="227" bestFit="1" customWidth="1"/>
    <col min="12501" max="12501" width="10.140625" style="227" customWidth="1"/>
    <col min="12502" max="12502" width="14.42578125" style="227" customWidth="1"/>
    <col min="12503" max="12503" width="11.5703125" style="227" customWidth="1"/>
    <col min="12504" max="12504" width="10.85546875" style="227" customWidth="1"/>
    <col min="12505" max="12505" width="31.7109375" style="227" bestFit="1" customWidth="1"/>
    <col min="12506" max="12506" width="28.5703125" style="227" customWidth="1"/>
    <col min="12507" max="12507" width="29.140625" style="227" customWidth="1"/>
    <col min="12508" max="12508" width="16" style="227" bestFit="1" customWidth="1"/>
    <col min="12509" max="12509" width="15" style="227" customWidth="1"/>
    <col min="12510" max="12510" width="13.85546875" style="227" customWidth="1"/>
    <col min="12511" max="12511" width="16.85546875" style="227" customWidth="1"/>
    <col min="12512" max="12512" width="15.7109375" style="227" bestFit="1" customWidth="1"/>
    <col min="12513" max="12514" width="12.28515625" style="227" bestFit="1" customWidth="1"/>
    <col min="12515" max="12515" width="15.5703125" style="227" bestFit="1" customWidth="1"/>
    <col min="12516" max="12516" width="13.42578125" style="227" bestFit="1" customWidth="1"/>
    <col min="12517" max="12517" width="14" style="227" bestFit="1" customWidth="1"/>
    <col min="12518" max="12518" width="13.7109375" style="227" bestFit="1" customWidth="1"/>
    <col min="12519" max="12519" width="15.85546875" style="227" bestFit="1" customWidth="1"/>
    <col min="12520" max="12523" width="15.85546875" style="227" customWidth="1"/>
    <col min="12524" max="12524" width="12.42578125" style="227" bestFit="1" customWidth="1"/>
    <col min="12525" max="12527" width="12.42578125" style="227" customWidth="1"/>
    <col min="12528" max="12528" width="15.85546875" style="227" bestFit="1" customWidth="1"/>
    <col min="12529" max="12529" width="24.28515625" style="227" bestFit="1" customWidth="1"/>
    <col min="12530" max="12530" width="13.42578125" style="227" bestFit="1" customWidth="1"/>
    <col min="12531" max="12755" width="9.140625" style="227"/>
    <col min="12756" max="12756" width="13.28515625" style="227" bestFit="1" customWidth="1"/>
    <col min="12757" max="12757" width="10.140625" style="227" customWidth="1"/>
    <col min="12758" max="12758" width="14.42578125" style="227" customWidth="1"/>
    <col min="12759" max="12759" width="11.5703125" style="227" customWidth="1"/>
    <col min="12760" max="12760" width="10.85546875" style="227" customWidth="1"/>
    <col min="12761" max="12761" width="31.7109375" style="227" bestFit="1" customWidth="1"/>
    <col min="12762" max="12762" width="28.5703125" style="227" customWidth="1"/>
    <col min="12763" max="12763" width="29.140625" style="227" customWidth="1"/>
    <col min="12764" max="12764" width="16" style="227" bestFit="1" customWidth="1"/>
    <col min="12765" max="12765" width="15" style="227" customWidth="1"/>
    <col min="12766" max="12766" width="13.85546875" style="227" customWidth="1"/>
    <col min="12767" max="12767" width="16.85546875" style="227" customWidth="1"/>
    <col min="12768" max="12768" width="15.7109375" style="227" bestFit="1" customWidth="1"/>
    <col min="12769" max="12770" width="12.28515625" style="227" bestFit="1" customWidth="1"/>
    <col min="12771" max="12771" width="15.5703125" style="227" bestFit="1" customWidth="1"/>
    <col min="12772" max="12772" width="13.42578125" style="227" bestFit="1" customWidth="1"/>
    <col min="12773" max="12773" width="14" style="227" bestFit="1" customWidth="1"/>
    <col min="12774" max="12774" width="13.7109375" style="227" bestFit="1" customWidth="1"/>
    <col min="12775" max="12775" width="15.85546875" style="227" bestFit="1" customWidth="1"/>
    <col min="12776" max="12779" width="15.85546875" style="227" customWidth="1"/>
    <col min="12780" max="12780" width="12.42578125" style="227" bestFit="1" customWidth="1"/>
    <col min="12781" max="12783" width="12.42578125" style="227" customWidth="1"/>
    <col min="12784" max="12784" width="15.85546875" style="227" bestFit="1" customWidth="1"/>
    <col min="12785" max="12785" width="24.28515625" style="227" bestFit="1" customWidth="1"/>
    <col min="12786" max="12786" width="13.42578125" style="227" bestFit="1" customWidth="1"/>
    <col min="12787" max="13011" width="9.140625" style="227"/>
    <col min="13012" max="13012" width="13.28515625" style="227" bestFit="1" customWidth="1"/>
    <col min="13013" max="13013" width="10.140625" style="227" customWidth="1"/>
    <col min="13014" max="13014" width="14.42578125" style="227" customWidth="1"/>
    <col min="13015" max="13015" width="11.5703125" style="227" customWidth="1"/>
    <col min="13016" max="13016" width="10.85546875" style="227" customWidth="1"/>
    <col min="13017" max="13017" width="31.7109375" style="227" bestFit="1" customWidth="1"/>
    <col min="13018" max="13018" width="28.5703125" style="227" customWidth="1"/>
    <col min="13019" max="13019" width="29.140625" style="227" customWidth="1"/>
    <col min="13020" max="13020" width="16" style="227" bestFit="1" customWidth="1"/>
    <col min="13021" max="13021" width="15" style="227" customWidth="1"/>
    <col min="13022" max="13022" width="13.85546875" style="227" customWidth="1"/>
    <col min="13023" max="13023" width="16.85546875" style="227" customWidth="1"/>
    <col min="13024" max="13024" width="15.7109375" style="227" bestFit="1" customWidth="1"/>
    <col min="13025" max="13026" width="12.28515625" style="227" bestFit="1" customWidth="1"/>
    <col min="13027" max="13027" width="15.5703125" style="227" bestFit="1" customWidth="1"/>
    <col min="13028" max="13028" width="13.42578125" style="227" bestFit="1" customWidth="1"/>
    <col min="13029" max="13029" width="14" style="227" bestFit="1" customWidth="1"/>
    <col min="13030" max="13030" width="13.7109375" style="227" bestFit="1" customWidth="1"/>
    <col min="13031" max="13031" width="15.85546875" style="227" bestFit="1" customWidth="1"/>
    <col min="13032" max="13035" width="15.85546875" style="227" customWidth="1"/>
    <col min="13036" max="13036" width="12.42578125" style="227" bestFit="1" customWidth="1"/>
    <col min="13037" max="13039" width="12.42578125" style="227" customWidth="1"/>
    <col min="13040" max="13040" width="15.85546875" style="227" bestFit="1" customWidth="1"/>
    <col min="13041" max="13041" width="24.28515625" style="227" bestFit="1" customWidth="1"/>
    <col min="13042" max="13042" width="13.42578125" style="227" bestFit="1" customWidth="1"/>
    <col min="13043" max="13267" width="9.140625" style="227"/>
    <col min="13268" max="13268" width="13.28515625" style="227" bestFit="1" customWidth="1"/>
    <col min="13269" max="13269" width="10.140625" style="227" customWidth="1"/>
    <col min="13270" max="13270" width="14.42578125" style="227" customWidth="1"/>
    <col min="13271" max="13271" width="11.5703125" style="227" customWidth="1"/>
    <col min="13272" max="13272" width="10.85546875" style="227" customWidth="1"/>
    <col min="13273" max="13273" width="31.7109375" style="227" bestFit="1" customWidth="1"/>
    <col min="13274" max="13274" width="28.5703125" style="227" customWidth="1"/>
    <col min="13275" max="13275" width="29.140625" style="227" customWidth="1"/>
    <col min="13276" max="13276" width="16" style="227" bestFit="1" customWidth="1"/>
    <col min="13277" max="13277" width="15" style="227" customWidth="1"/>
    <col min="13278" max="13278" width="13.85546875" style="227" customWidth="1"/>
    <col min="13279" max="13279" width="16.85546875" style="227" customWidth="1"/>
    <col min="13280" max="13280" width="15.7109375" style="227" bestFit="1" customWidth="1"/>
    <col min="13281" max="13282" width="12.28515625" style="227" bestFit="1" customWidth="1"/>
    <col min="13283" max="13283" width="15.5703125" style="227" bestFit="1" customWidth="1"/>
    <col min="13284" max="13284" width="13.42578125" style="227" bestFit="1" customWidth="1"/>
    <col min="13285" max="13285" width="14" style="227" bestFit="1" customWidth="1"/>
    <col min="13286" max="13286" width="13.7109375" style="227" bestFit="1" customWidth="1"/>
    <col min="13287" max="13287" width="15.85546875" style="227" bestFit="1" customWidth="1"/>
    <col min="13288" max="13291" width="15.85546875" style="227" customWidth="1"/>
    <col min="13292" max="13292" width="12.42578125" style="227" bestFit="1" customWidth="1"/>
    <col min="13293" max="13295" width="12.42578125" style="227" customWidth="1"/>
    <col min="13296" max="13296" width="15.85546875" style="227" bestFit="1" customWidth="1"/>
    <col min="13297" max="13297" width="24.28515625" style="227" bestFit="1" customWidth="1"/>
    <col min="13298" max="13298" width="13.42578125" style="227" bestFit="1" customWidth="1"/>
    <col min="13299" max="13523" width="9.140625" style="227"/>
    <col min="13524" max="13524" width="13.28515625" style="227" bestFit="1" customWidth="1"/>
    <col min="13525" max="13525" width="10.140625" style="227" customWidth="1"/>
    <col min="13526" max="13526" width="14.42578125" style="227" customWidth="1"/>
    <col min="13527" max="13527" width="11.5703125" style="227" customWidth="1"/>
    <col min="13528" max="13528" width="10.85546875" style="227" customWidth="1"/>
    <col min="13529" max="13529" width="31.7109375" style="227" bestFit="1" customWidth="1"/>
    <col min="13530" max="13530" width="28.5703125" style="227" customWidth="1"/>
    <col min="13531" max="13531" width="29.140625" style="227" customWidth="1"/>
    <col min="13532" max="13532" width="16" style="227" bestFit="1" customWidth="1"/>
    <col min="13533" max="13533" width="15" style="227" customWidth="1"/>
    <col min="13534" max="13534" width="13.85546875" style="227" customWidth="1"/>
    <col min="13535" max="13535" width="16.85546875" style="227" customWidth="1"/>
    <col min="13536" max="13536" width="15.7109375" style="227" bestFit="1" customWidth="1"/>
    <col min="13537" max="13538" width="12.28515625" style="227" bestFit="1" customWidth="1"/>
    <col min="13539" max="13539" width="15.5703125" style="227" bestFit="1" customWidth="1"/>
    <col min="13540" max="13540" width="13.42578125" style="227" bestFit="1" customWidth="1"/>
    <col min="13541" max="13541" width="14" style="227" bestFit="1" customWidth="1"/>
    <col min="13542" max="13542" width="13.7109375" style="227" bestFit="1" customWidth="1"/>
    <col min="13543" max="13543" width="15.85546875" style="227" bestFit="1" customWidth="1"/>
    <col min="13544" max="13547" width="15.85546875" style="227" customWidth="1"/>
    <col min="13548" max="13548" width="12.42578125" style="227" bestFit="1" customWidth="1"/>
    <col min="13549" max="13551" width="12.42578125" style="227" customWidth="1"/>
    <col min="13552" max="13552" width="15.85546875" style="227" bestFit="1" customWidth="1"/>
    <col min="13553" max="13553" width="24.28515625" style="227" bestFit="1" customWidth="1"/>
    <col min="13554" max="13554" width="13.42578125" style="227" bestFit="1" customWidth="1"/>
    <col min="13555" max="13779" width="9.140625" style="227"/>
    <col min="13780" max="13780" width="13.28515625" style="227" bestFit="1" customWidth="1"/>
    <col min="13781" max="13781" width="10.140625" style="227" customWidth="1"/>
    <col min="13782" max="13782" width="14.42578125" style="227" customWidth="1"/>
    <col min="13783" max="13783" width="11.5703125" style="227" customWidth="1"/>
    <col min="13784" max="13784" width="10.85546875" style="227" customWidth="1"/>
    <col min="13785" max="13785" width="31.7109375" style="227" bestFit="1" customWidth="1"/>
    <col min="13786" max="13786" width="28.5703125" style="227" customWidth="1"/>
    <col min="13787" max="13787" width="29.140625" style="227" customWidth="1"/>
    <col min="13788" max="13788" width="16" style="227" bestFit="1" customWidth="1"/>
    <col min="13789" max="13789" width="15" style="227" customWidth="1"/>
    <col min="13790" max="13790" width="13.85546875" style="227" customWidth="1"/>
    <col min="13791" max="13791" width="16.85546875" style="227" customWidth="1"/>
    <col min="13792" max="13792" width="15.7109375" style="227" bestFit="1" customWidth="1"/>
    <col min="13793" max="13794" width="12.28515625" style="227" bestFit="1" customWidth="1"/>
    <col min="13795" max="13795" width="15.5703125" style="227" bestFit="1" customWidth="1"/>
    <col min="13796" max="13796" width="13.42578125" style="227" bestFit="1" customWidth="1"/>
    <col min="13797" max="13797" width="14" style="227" bestFit="1" customWidth="1"/>
    <col min="13798" max="13798" width="13.7109375" style="227" bestFit="1" customWidth="1"/>
    <col min="13799" max="13799" width="15.85546875" style="227" bestFit="1" customWidth="1"/>
    <col min="13800" max="13803" width="15.85546875" style="227" customWidth="1"/>
    <col min="13804" max="13804" width="12.42578125" style="227" bestFit="1" customWidth="1"/>
    <col min="13805" max="13807" width="12.42578125" style="227" customWidth="1"/>
    <col min="13808" max="13808" width="15.85546875" style="227" bestFit="1" customWidth="1"/>
    <col min="13809" max="13809" width="24.28515625" style="227" bestFit="1" customWidth="1"/>
    <col min="13810" max="13810" width="13.42578125" style="227" bestFit="1" customWidth="1"/>
    <col min="13811" max="14035" width="9.140625" style="227"/>
    <col min="14036" max="14036" width="13.28515625" style="227" bestFit="1" customWidth="1"/>
    <col min="14037" max="14037" width="10.140625" style="227" customWidth="1"/>
    <col min="14038" max="14038" width="14.42578125" style="227" customWidth="1"/>
    <col min="14039" max="14039" width="11.5703125" style="227" customWidth="1"/>
    <col min="14040" max="14040" width="10.85546875" style="227" customWidth="1"/>
    <col min="14041" max="14041" width="31.7109375" style="227" bestFit="1" customWidth="1"/>
    <col min="14042" max="14042" width="28.5703125" style="227" customWidth="1"/>
    <col min="14043" max="14043" width="29.140625" style="227" customWidth="1"/>
    <col min="14044" max="14044" width="16" style="227" bestFit="1" customWidth="1"/>
    <col min="14045" max="14045" width="15" style="227" customWidth="1"/>
    <col min="14046" max="14046" width="13.85546875" style="227" customWidth="1"/>
    <col min="14047" max="14047" width="16.85546875" style="227" customWidth="1"/>
    <col min="14048" max="14048" width="15.7109375" style="227" bestFit="1" customWidth="1"/>
    <col min="14049" max="14050" width="12.28515625" style="227" bestFit="1" customWidth="1"/>
    <col min="14051" max="14051" width="15.5703125" style="227" bestFit="1" customWidth="1"/>
    <col min="14052" max="14052" width="13.42578125" style="227" bestFit="1" customWidth="1"/>
    <col min="14053" max="14053" width="14" style="227" bestFit="1" customWidth="1"/>
    <col min="14054" max="14054" width="13.7109375" style="227" bestFit="1" customWidth="1"/>
    <col min="14055" max="14055" width="15.85546875" style="227" bestFit="1" customWidth="1"/>
    <col min="14056" max="14059" width="15.85546875" style="227" customWidth="1"/>
    <col min="14060" max="14060" width="12.42578125" style="227" bestFit="1" customWidth="1"/>
    <col min="14061" max="14063" width="12.42578125" style="227" customWidth="1"/>
    <col min="14064" max="14064" width="15.85546875" style="227" bestFit="1" customWidth="1"/>
    <col min="14065" max="14065" width="24.28515625" style="227" bestFit="1" customWidth="1"/>
    <col min="14066" max="14066" width="13.42578125" style="227" bestFit="1" customWidth="1"/>
    <col min="14067" max="14291" width="9.140625" style="227"/>
    <col min="14292" max="14292" width="13.28515625" style="227" bestFit="1" customWidth="1"/>
    <col min="14293" max="14293" width="10.140625" style="227" customWidth="1"/>
    <col min="14294" max="14294" width="14.42578125" style="227" customWidth="1"/>
    <col min="14295" max="14295" width="11.5703125" style="227" customWidth="1"/>
    <col min="14296" max="14296" width="10.85546875" style="227" customWidth="1"/>
    <col min="14297" max="14297" width="31.7109375" style="227" bestFit="1" customWidth="1"/>
    <col min="14298" max="14298" width="28.5703125" style="227" customWidth="1"/>
    <col min="14299" max="14299" width="29.140625" style="227" customWidth="1"/>
    <col min="14300" max="14300" width="16" style="227" bestFit="1" customWidth="1"/>
    <col min="14301" max="14301" width="15" style="227" customWidth="1"/>
    <col min="14302" max="14302" width="13.85546875" style="227" customWidth="1"/>
    <col min="14303" max="14303" width="16.85546875" style="227" customWidth="1"/>
    <col min="14304" max="14304" width="15.7109375" style="227" bestFit="1" customWidth="1"/>
    <col min="14305" max="14306" width="12.28515625" style="227" bestFit="1" customWidth="1"/>
    <col min="14307" max="14307" width="15.5703125" style="227" bestFit="1" customWidth="1"/>
    <col min="14308" max="14308" width="13.42578125" style="227" bestFit="1" customWidth="1"/>
    <col min="14309" max="14309" width="14" style="227" bestFit="1" customWidth="1"/>
    <col min="14310" max="14310" width="13.7109375" style="227" bestFit="1" customWidth="1"/>
    <col min="14311" max="14311" width="15.85546875" style="227" bestFit="1" customWidth="1"/>
    <col min="14312" max="14315" width="15.85546875" style="227" customWidth="1"/>
    <col min="14316" max="14316" width="12.42578125" style="227" bestFit="1" customWidth="1"/>
    <col min="14317" max="14319" width="12.42578125" style="227" customWidth="1"/>
    <col min="14320" max="14320" width="15.85546875" style="227" bestFit="1" customWidth="1"/>
    <col min="14321" max="14321" width="24.28515625" style="227" bestFit="1" customWidth="1"/>
    <col min="14322" max="14322" width="13.42578125" style="227" bestFit="1" customWidth="1"/>
    <col min="14323" max="14547" width="9.140625" style="227"/>
    <col min="14548" max="14548" width="13.28515625" style="227" bestFit="1" customWidth="1"/>
    <col min="14549" max="14549" width="10.140625" style="227" customWidth="1"/>
    <col min="14550" max="14550" width="14.42578125" style="227" customWidth="1"/>
    <col min="14551" max="14551" width="11.5703125" style="227" customWidth="1"/>
    <col min="14552" max="14552" width="10.85546875" style="227" customWidth="1"/>
    <col min="14553" max="14553" width="31.7109375" style="227" bestFit="1" customWidth="1"/>
    <col min="14554" max="14554" width="28.5703125" style="227" customWidth="1"/>
    <col min="14555" max="14555" width="29.140625" style="227" customWidth="1"/>
    <col min="14556" max="14556" width="16" style="227" bestFit="1" customWidth="1"/>
    <col min="14557" max="14557" width="15" style="227" customWidth="1"/>
    <col min="14558" max="14558" width="13.85546875" style="227" customWidth="1"/>
    <col min="14559" max="14559" width="16.85546875" style="227" customWidth="1"/>
    <col min="14560" max="14560" width="15.7109375" style="227" bestFit="1" customWidth="1"/>
    <col min="14561" max="14562" width="12.28515625" style="227" bestFit="1" customWidth="1"/>
    <col min="14563" max="14563" width="15.5703125" style="227" bestFit="1" customWidth="1"/>
    <col min="14564" max="14564" width="13.42578125" style="227" bestFit="1" customWidth="1"/>
    <col min="14565" max="14565" width="14" style="227" bestFit="1" customWidth="1"/>
    <col min="14566" max="14566" width="13.7109375" style="227" bestFit="1" customWidth="1"/>
    <col min="14567" max="14567" width="15.85546875" style="227" bestFit="1" customWidth="1"/>
    <col min="14568" max="14571" width="15.85546875" style="227" customWidth="1"/>
    <col min="14572" max="14572" width="12.42578125" style="227" bestFit="1" customWidth="1"/>
    <col min="14573" max="14575" width="12.42578125" style="227" customWidth="1"/>
    <col min="14576" max="14576" width="15.85546875" style="227" bestFit="1" customWidth="1"/>
    <col min="14577" max="14577" width="24.28515625" style="227" bestFit="1" customWidth="1"/>
    <col min="14578" max="14578" width="13.42578125" style="227" bestFit="1" customWidth="1"/>
    <col min="14579" max="14803" width="9.140625" style="227"/>
    <col min="14804" max="14804" width="13.28515625" style="227" bestFit="1" customWidth="1"/>
    <col min="14805" max="14805" width="10.140625" style="227" customWidth="1"/>
    <col min="14806" max="14806" width="14.42578125" style="227" customWidth="1"/>
    <col min="14807" max="14807" width="11.5703125" style="227" customWidth="1"/>
    <col min="14808" max="14808" width="10.85546875" style="227" customWidth="1"/>
    <col min="14809" max="14809" width="31.7109375" style="227" bestFit="1" customWidth="1"/>
    <col min="14810" max="14810" width="28.5703125" style="227" customWidth="1"/>
    <col min="14811" max="14811" width="29.140625" style="227" customWidth="1"/>
    <col min="14812" max="14812" width="16" style="227" bestFit="1" customWidth="1"/>
    <col min="14813" max="14813" width="15" style="227" customWidth="1"/>
    <col min="14814" max="14814" width="13.85546875" style="227" customWidth="1"/>
    <col min="14815" max="14815" width="16.85546875" style="227" customWidth="1"/>
    <col min="14816" max="14816" width="15.7109375" style="227" bestFit="1" customWidth="1"/>
    <col min="14817" max="14818" width="12.28515625" style="227" bestFit="1" customWidth="1"/>
    <col min="14819" max="14819" width="15.5703125" style="227" bestFit="1" customWidth="1"/>
    <col min="14820" max="14820" width="13.42578125" style="227" bestFit="1" customWidth="1"/>
    <col min="14821" max="14821" width="14" style="227" bestFit="1" customWidth="1"/>
    <col min="14822" max="14822" width="13.7109375" style="227" bestFit="1" customWidth="1"/>
    <col min="14823" max="14823" width="15.85546875" style="227" bestFit="1" customWidth="1"/>
    <col min="14824" max="14827" width="15.85546875" style="227" customWidth="1"/>
    <col min="14828" max="14828" width="12.42578125" style="227" bestFit="1" customWidth="1"/>
    <col min="14829" max="14831" width="12.42578125" style="227" customWidth="1"/>
    <col min="14832" max="14832" width="15.85546875" style="227" bestFit="1" customWidth="1"/>
    <col min="14833" max="14833" width="24.28515625" style="227" bestFit="1" customWidth="1"/>
    <col min="14834" max="14834" width="13.42578125" style="227" bestFit="1" customWidth="1"/>
    <col min="14835" max="15059" width="9.140625" style="227"/>
    <col min="15060" max="15060" width="13.28515625" style="227" bestFit="1" customWidth="1"/>
    <col min="15061" max="15061" width="10.140625" style="227" customWidth="1"/>
    <col min="15062" max="15062" width="14.42578125" style="227" customWidth="1"/>
    <col min="15063" max="15063" width="11.5703125" style="227" customWidth="1"/>
    <col min="15064" max="15064" width="10.85546875" style="227" customWidth="1"/>
    <col min="15065" max="15065" width="31.7109375" style="227" bestFit="1" customWidth="1"/>
    <col min="15066" max="15066" width="28.5703125" style="227" customWidth="1"/>
    <col min="15067" max="15067" width="29.140625" style="227" customWidth="1"/>
    <col min="15068" max="15068" width="16" style="227" bestFit="1" customWidth="1"/>
    <col min="15069" max="15069" width="15" style="227" customWidth="1"/>
    <col min="15070" max="15070" width="13.85546875" style="227" customWidth="1"/>
    <col min="15071" max="15071" width="16.85546875" style="227" customWidth="1"/>
    <col min="15072" max="15072" width="15.7109375" style="227" bestFit="1" customWidth="1"/>
    <col min="15073" max="15074" width="12.28515625" style="227" bestFit="1" customWidth="1"/>
    <col min="15075" max="15075" width="15.5703125" style="227" bestFit="1" customWidth="1"/>
    <col min="15076" max="15076" width="13.42578125" style="227" bestFit="1" customWidth="1"/>
    <col min="15077" max="15077" width="14" style="227" bestFit="1" customWidth="1"/>
    <col min="15078" max="15078" width="13.7109375" style="227" bestFit="1" customWidth="1"/>
    <col min="15079" max="15079" width="15.85546875" style="227" bestFit="1" customWidth="1"/>
    <col min="15080" max="15083" width="15.85546875" style="227" customWidth="1"/>
    <col min="15084" max="15084" width="12.42578125" style="227" bestFit="1" customWidth="1"/>
    <col min="15085" max="15087" width="12.42578125" style="227" customWidth="1"/>
    <col min="15088" max="15088" width="15.85546875" style="227" bestFit="1" customWidth="1"/>
    <col min="15089" max="15089" width="24.28515625" style="227" bestFit="1" customWidth="1"/>
    <col min="15090" max="15090" width="13.42578125" style="227" bestFit="1" customWidth="1"/>
    <col min="15091" max="15315" width="9.140625" style="227"/>
    <col min="15316" max="15316" width="13.28515625" style="227" bestFit="1" customWidth="1"/>
    <col min="15317" max="15317" width="10.140625" style="227" customWidth="1"/>
    <col min="15318" max="15318" width="14.42578125" style="227" customWidth="1"/>
    <col min="15319" max="15319" width="11.5703125" style="227" customWidth="1"/>
    <col min="15320" max="15320" width="10.85546875" style="227" customWidth="1"/>
    <col min="15321" max="15321" width="31.7109375" style="227" bestFit="1" customWidth="1"/>
    <col min="15322" max="15322" width="28.5703125" style="227" customWidth="1"/>
    <col min="15323" max="15323" width="29.140625" style="227" customWidth="1"/>
    <col min="15324" max="15324" width="16" style="227" bestFit="1" customWidth="1"/>
    <col min="15325" max="15325" width="15" style="227" customWidth="1"/>
    <col min="15326" max="15326" width="13.85546875" style="227" customWidth="1"/>
    <col min="15327" max="15327" width="16.85546875" style="227" customWidth="1"/>
    <col min="15328" max="15328" width="15.7109375" style="227" bestFit="1" customWidth="1"/>
    <col min="15329" max="15330" width="12.28515625" style="227" bestFit="1" customWidth="1"/>
    <col min="15331" max="15331" width="15.5703125" style="227" bestFit="1" customWidth="1"/>
    <col min="15332" max="15332" width="13.42578125" style="227" bestFit="1" customWidth="1"/>
    <col min="15333" max="15333" width="14" style="227" bestFit="1" customWidth="1"/>
    <col min="15334" max="15334" width="13.7109375" style="227" bestFit="1" customWidth="1"/>
    <col min="15335" max="15335" width="15.85546875" style="227" bestFit="1" customWidth="1"/>
    <col min="15336" max="15339" width="15.85546875" style="227" customWidth="1"/>
    <col min="15340" max="15340" width="12.42578125" style="227" bestFit="1" customWidth="1"/>
    <col min="15341" max="15343" width="12.42578125" style="227" customWidth="1"/>
    <col min="15344" max="15344" width="15.85546875" style="227" bestFit="1" customWidth="1"/>
    <col min="15345" max="15345" width="24.28515625" style="227" bestFit="1" customWidth="1"/>
    <col min="15346" max="15346" width="13.42578125" style="227" bestFit="1" customWidth="1"/>
    <col min="15347" max="15571" width="9.140625" style="227"/>
    <col min="15572" max="15572" width="13.28515625" style="227" bestFit="1" customWidth="1"/>
    <col min="15573" max="15573" width="10.140625" style="227" customWidth="1"/>
    <col min="15574" max="15574" width="14.42578125" style="227" customWidth="1"/>
    <col min="15575" max="15575" width="11.5703125" style="227" customWidth="1"/>
    <col min="15576" max="15576" width="10.85546875" style="227" customWidth="1"/>
    <col min="15577" max="15577" width="31.7109375" style="227" bestFit="1" customWidth="1"/>
    <col min="15578" max="15578" width="28.5703125" style="227" customWidth="1"/>
    <col min="15579" max="15579" width="29.140625" style="227" customWidth="1"/>
    <col min="15580" max="15580" width="16" style="227" bestFit="1" customWidth="1"/>
    <col min="15581" max="15581" width="15" style="227" customWidth="1"/>
    <col min="15582" max="15582" width="13.85546875" style="227" customWidth="1"/>
    <col min="15583" max="15583" width="16.85546875" style="227" customWidth="1"/>
    <col min="15584" max="15584" width="15.7109375" style="227" bestFit="1" customWidth="1"/>
    <col min="15585" max="15586" width="12.28515625" style="227" bestFit="1" customWidth="1"/>
    <col min="15587" max="15587" width="15.5703125" style="227" bestFit="1" customWidth="1"/>
    <col min="15588" max="15588" width="13.42578125" style="227" bestFit="1" customWidth="1"/>
    <col min="15589" max="15589" width="14" style="227" bestFit="1" customWidth="1"/>
    <col min="15590" max="15590" width="13.7109375" style="227" bestFit="1" customWidth="1"/>
    <col min="15591" max="15591" width="15.85546875" style="227" bestFit="1" customWidth="1"/>
    <col min="15592" max="15595" width="15.85546875" style="227" customWidth="1"/>
    <col min="15596" max="15596" width="12.42578125" style="227" bestFit="1" customWidth="1"/>
    <col min="15597" max="15599" width="12.42578125" style="227" customWidth="1"/>
    <col min="15600" max="15600" width="15.85546875" style="227" bestFit="1" customWidth="1"/>
    <col min="15601" max="15601" width="24.28515625" style="227" bestFit="1" customWidth="1"/>
    <col min="15602" max="15602" width="13.42578125" style="227" bestFit="1" customWidth="1"/>
    <col min="15603" max="15827" width="9.140625" style="227"/>
    <col min="15828" max="15828" width="13.28515625" style="227" bestFit="1" customWidth="1"/>
    <col min="15829" max="15829" width="10.140625" style="227" customWidth="1"/>
    <col min="15830" max="15830" width="14.42578125" style="227" customWidth="1"/>
    <col min="15831" max="15831" width="11.5703125" style="227" customWidth="1"/>
    <col min="15832" max="15832" width="10.85546875" style="227" customWidth="1"/>
    <col min="15833" max="15833" width="31.7109375" style="227" bestFit="1" customWidth="1"/>
    <col min="15834" max="15834" width="28.5703125" style="227" customWidth="1"/>
    <col min="15835" max="15835" width="29.140625" style="227" customWidth="1"/>
    <col min="15836" max="15836" width="16" style="227" bestFit="1" customWidth="1"/>
    <col min="15837" max="15837" width="15" style="227" customWidth="1"/>
    <col min="15838" max="15838" width="13.85546875" style="227" customWidth="1"/>
    <col min="15839" max="15839" width="16.85546875" style="227" customWidth="1"/>
    <col min="15840" max="15840" width="15.7109375" style="227" bestFit="1" customWidth="1"/>
    <col min="15841" max="15842" width="12.28515625" style="227" bestFit="1" customWidth="1"/>
    <col min="15843" max="15843" width="15.5703125" style="227" bestFit="1" customWidth="1"/>
    <col min="15844" max="15844" width="13.42578125" style="227" bestFit="1" customWidth="1"/>
    <col min="15845" max="15845" width="14" style="227" bestFit="1" customWidth="1"/>
    <col min="15846" max="15846" width="13.7109375" style="227" bestFit="1" customWidth="1"/>
    <col min="15847" max="15847" width="15.85546875" style="227" bestFit="1" customWidth="1"/>
    <col min="15848" max="15851" width="15.85546875" style="227" customWidth="1"/>
    <col min="15852" max="15852" width="12.42578125" style="227" bestFit="1" customWidth="1"/>
    <col min="15853" max="15855" width="12.42578125" style="227" customWidth="1"/>
    <col min="15856" max="15856" width="15.85546875" style="227" bestFit="1" customWidth="1"/>
    <col min="15857" max="15857" width="24.28515625" style="227" bestFit="1" customWidth="1"/>
    <col min="15858" max="15858" width="13.42578125" style="227" bestFit="1" customWidth="1"/>
    <col min="15859" max="16083" width="9.140625" style="227"/>
    <col min="16084" max="16084" width="13.28515625" style="227" bestFit="1" customWidth="1"/>
    <col min="16085" max="16085" width="10.140625" style="227" customWidth="1"/>
    <col min="16086" max="16086" width="14.42578125" style="227" customWidth="1"/>
    <col min="16087" max="16087" width="11.5703125" style="227" customWidth="1"/>
    <col min="16088" max="16088" width="10.85546875" style="227" customWidth="1"/>
    <col min="16089" max="16089" width="31.7109375" style="227" bestFit="1" customWidth="1"/>
    <col min="16090" max="16090" width="28.5703125" style="227" customWidth="1"/>
    <col min="16091" max="16091" width="29.140625" style="227" customWidth="1"/>
    <col min="16092" max="16092" width="16" style="227" bestFit="1" customWidth="1"/>
    <col min="16093" max="16093" width="15" style="227" customWidth="1"/>
    <col min="16094" max="16094" width="13.85546875" style="227" customWidth="1"/>
    <col min="16095" max="16095" width="16.85546875" style="227" customWidth="1"/>
    <col min="16096" max="16096" width="15.7109375" style="227" bestFit="1" customWidth="1"/>
    <col min="16097" max="16098" width="12.28515625" style="227" bestFit="1" customWidth="1"/>
    <col min="16099" max="16099" width="15.5703125" style="227" bestFit="1" customWidth="1"/>
    <col min="16100" max="16100" width="13.42578125" style="227" bestFit="1" customWidth="1"/>
    <col min="16101" max="16101" width="14" style="227" bestFit="1" customWidth="1"/>
    <col min="16102" max="16102" width="13.7109375" style="227" bestFit="1" customWidth="1"/>
    <col min="16103" max="16103" width="15.85546875" style="227" bestFit="1" customWidth="1"/>
    <col min="16104" max="16107" width="15.85546875" style="227" customWidth="1"/>
    <col min="16108" max="16108" width="12.42578125" style="227" bestFit="1" customWidth="1"/>
    <col min="16109" max="16111" width="12.42578125" style="227" customWidth="1"/>
    <col min="16112" max="16112" width="15.85546875" style="227" bestFit="1" customWidth="1"/>
    <col min="16113" max="16113" width="24.28515625" style="227" bestFit="1" customWidth="1"/>
    <col min="16114" max="16114" width="13.42578125" style="227" bestFit="1" customWidth="1"/>
    <col min="16115" max="16381" width="9.140625" style="227"/>
    <col min="16382" max="16382" width="9.140625" style="227" customWidth="1"/>
    <col min="16383" max="16384" width="9.140625" style="227"/>
  </cols>
  <sheetData>
    <row r="1" spans="1:34" ht="15">
      <c r="A1" s="40" t="s">
        <v>0</v>
      </c>
    </row>
    <row r="2" spans="1:34" ht="15">
      <c r="A2" s="40" t="s">
        <v>527</v>
      </c>
    </row>
    <row r="3" spans="1:34" ht="15">
      <c r="B3" s="40"/>
    </row>
    <row r="4" spans="1:34" ht="15">
      <c r="B4" s="40"/>
    </row>
    <row r="5" spans="1:34" ht="13.5" thickBot="1">
      <c r="B5" s="227" t="s">
        <v>1726</v>
      </c>
    </row>
    <row r="6" spans="1:34">
      <c r="B6" s="582" t="s">
        <v>1727</v>
      </c>
      <c r="U6" s="78" t="s">
        <v>528</v>
      </c>
      <c r="V6" s="229"/>
      <c r="W6" s="229"/>
      <c r="X6" s="229"/>
      <c r="Y6" s="229"/>
      <c r="Z6" s="229"/>
      <c r="AA6" s="229"/>
      <c r="AB6" s="229"/>
      <c r="AC6" s="229"/>
      <c r="AD6" s="229"/>
      <c r="AE6" s="229"/>
      <c r="AF6" s="230"/>
    </row>
    <row r="7" spans="1:34">
      <c r="B7" s="74"/>
      <c r="U7" s="239"/>
      <c r="AF7" s="231"/>
    </row>
    <row r="8" spans="1:34" s="108" customFormat="1" ht="45" customHeight="1">
      <c r="A8" s="108" t="s">
        <v>707</v>
      </c>
      <c r="B8" s="108" t="s">
        <v>711</v>
      </c>
      <c r="C8" s="108" t="s">
        <v>504</v>
      </c>
      <c r="D8" s="108" t="s">
        <v>505</v>
      </c>
      <c r="E8" s="108" t="s">
        <v>506</v>
      </c>
      <c r="F8" s="108" t="s">
        <v>507</v>
      </c>
      <c r="G8" t="s">
        <v>508</v>
      </c>
      <c r="H8" t="s">
        <v>509</v>
      </c>
      <c r="I8" t="s">
        <v>510</v>
      </c>
      <c r="J8" t="s">
        <v>511</v>
      </c>
      <c r="K8" t="s">
        <v>512</v>
      </c>
      <c r="L8" t="s">
        <v>513</v>
      </c>
      <c r="M8" t="s">
        <v>514</v>
      </c>
      <c r="N8" s="284" t="s">
        <v>515</v>
      </c>
      <c r="O8" s="284" t="s">
        <v>516</v>
      </c>
      <c r="P8" s="284" t="s">
        <v>517</v>
      </c>
      <c r="Q8" s="284" t="s">
        <v>518</v>
      </c>
      <c r="R8" s="284" t="s">
        <v>519</v>
      </c>
      <c r="S8" s="284" t="s">
        <v>520</v>
      </c>
      <c r="T8" s="284" t="s">
        <v>521</v>
      </c>
      <c r="U8" s="300" t="s">
        <v>522</v>
      </c>
      <c r="V8" s="301" t="s">
        <v>523</v>
      </c>
      <c r="W8" s="301" t="s">
        <v>524</v>
      </c>
      <c r="X8" s="301" t="s">
        <v>713</v>
      </c>
      <c r="Y8" s="301" t="s">
        <v>714</v>
      </c>
      <c r="Z8" s="301" t="s">
        <v>420</v>
      </c>
      <c r="AA8" s="301" t="s">
        <v>421</v>
      </c>
      <c r="AB8" s="301" t="s">
        <v>525</v>
      </c>
      <c r="AC8" s="301" t="s">
        <v>712</v>
      </c>
      <c r="AD8" s="573" t="s">
        <v>157</v>
      </c>
      <c r="AE8" s="301" t="s">
        <v>526</v>
      </c>
      <c r="AF8" s="285" t="s">
        <v>55</v>
      </c>
    </row>
    <row r="9" spans="1:34">
      <c r="A9" s="346" t="s">
        <v>1777</v>
      </c>
      <c r="B9" s="346">
        <v>1</v>
      </c>
      <c r="C9" s="346"/>
      <c r="D9" s="346"/>
      <c r="E9" s="346"/>
      <c r="F9" s="346"/>
      <c r="G9" s="346" t="s">
        <v>1848</v>
      </c>
      <c r="H9" s="346" t="s">
        <v>1849</v>
      </c>
      <c r="I9" s="346" t="s">
        <v>1850</v>
      </c>
      <c r="J9" s="346" t="s">
        <v>1851</v>
      </c>
      <c r="K9" s="346" t="s">
        <v>1852</v>
      </c>
      <c r="L9" s="346" t="s">
        <v>1853</v>
      </c>
      <c r="M9" s="346" t="s">
        <v>1854</v>
      </c>
      <c r="N9" s="440">
        <v>0</v>
      </c>
      <c r="O9" s="440">
        <v>570</v>
      </c>
      <c r="P9" s="440">
        <v>570</v>
      </c>
      <c r="Q9" s="440">
        <v>2269.25</v>
      </c>
      <c r="R9" s="440">
        <v>18.286020000000001</v>
      </c>
      <c r="S9" s="440">
        <v>0</v>
      </c>
      <c r="T9" s="440">
        <v>2287.53602</v>
      </c>
      <c r="U9" s="440">
        <v>0</v>
      </c>
      <c r="V9" s="440">
        <v>0</v>
      </c>
      <c r="W9" s="440">
        <v>18.286020000000001</v>
      </c>
      <c r="X9" s="440">
        <v>11.75</v>
      </c>
      <c r="Y9" s="440">
        <v>0</v>
      </c>
      <c r="Z9" s="440">
        <v>0</v>
      </c>
      <c r="AA9" s="440">
        <v>2257.5</v>
      </c>
      <c r="AB9" s="440">
        <v>0</v>
      </c>
      <c r="AC9" s="440">
        <v>0</v>
      </c>
      <c r="AD9" s="440">
        <v>0</v>
      </c>
      <c r="AE9" s="440">
        <v>0</v>
      </c>
      <c r="AF9" s="440">
        <v>2287.53602</v>
      </c>
      <c r="AH9" s="269"/>
    </row>
    <row r="10" spans="1:34">
      <c r="A10" s="346" t="s">
        <v>1777</v>
      </c>
      <c r="B10" s="346">
        <v>2</v>
      </c>
      <c r="C10" s="346"/>
      <c r="D10" s="346"/>
      <c r="E10" s="346"/>
      <c r="F10" s="346"/>
      <c r="G10" s="346" t="s">
        <v>1855</v>
      </c>
      <c r="H10" s="346" t="s">
        <v>1856</v>
      </c>
      <c r="I10" s="346" t="s">
        <v>1849</v>
      </c>
      <c r="J10" s="346" t="s">
        <v>1857</v>
      </c>
      <c r="K10" s="346" t="s">
        <v>1852</v>
      </c>
      <c r="L10" s="346" t="s">
        <v>1858</v>
      </c>
      <c r="M10" s="346" t="s">
        <v>1859</v>
      </c>
      <c r="N10" s="440">
        <v>0</v>
      </c>
      <c r="O10" s="440">
        <v>0</v>
      </c>
      <c r="P10" s="440">
        <v>0</v>
      </c>
      <c r="Q10" s="440">
        <v>3230.8</v>
      </c>
      <c r="R10" s="440">
        <v>416.53</v>
      </c>
      <c r="S10" s="440">
        <v>0</v>
      </c>
      <c r="T10" s="440">
        <v>3647.33</v>
      </c>
      <c r="U10" s="440">
        <v>0</v>
      </c>
      <c r="V10" s="440">
        <v>0</v>
      </c>
      <c r="W10" s="440">
        <v>416.53</v>
      </c>
      <c r="X10" s="440">
        <v>18.8</v>
      </c>
      <c r="Y10" s="440">
        <v>0</v>
      </c>
      <c r="Z10" s="440">
        <v>3211.9999999999995</v>
      </c>
      <c r="AA10" s="440">
        <v>0</v>
      </c>
      <c r="AB10" s="440">
        <v>0</v>
      </c>
      <c r="AC10" s="440">
        <v>0</v>
      </c>
      <c r="AD10" s="440">
        <v>0</v>
      </c>
      <c r="AE10" s="440">
        <v>0</v>
      </c>
      <c r="AF10" s="440">
        <v>3647.3299999999995</v>
      </c>
      <c r="AH10" s="269"/>
    </row>
    <row r="11" spans="1:34">
      <c r="A11" s="346" t="s">
        <v>1777</v>
      </c>
      <c r="B11" s="346">
        <v>3</v>
      </c>
      <c r="C11" s="346"/>
      <c r="D11" s="346"/>
      <c r="E11" s="346"/>
      <c r="F11" s="346"/>
      <c r="G11" s="346" t="s">
        <v>1860</v>
      </c>
      <c r="H11" s="346" t="s">
        <v>1856</v>
      </c>
      <c r="I11" s="346" t="s">
        <v>1861</v>
      </c>
      <c r="J11" s="346" t="s">
        <v>1862</v>
      </c>
      <c r="K11" s="346" t="s">
        <v>1852</v>
      </c>
      <c r="L11" s="346" t="s">
        <v>1863</v>
      </c>
      <c r="M11" s="346" t="s">
        <v>1864</v>
      </c>
      <c r="N11" s="440">
        <v>145</v>
      </c>
      <c r="O11" s="440">
        <v>527164</v>
      </c>
      <c r="P11" s="440">
        <v>527164</v>
      </c>
      <c r="Q11" s="440">
        <v>5728133.3466666667</v>
      </c>
      <c r="R11" s="440">
        <v>0</v>
      </c>
      <c r="S11" s="440">
        <v>0</v>
      </c>
      <c r="T11" s="440">
        <v>5728133.3466666667</v>
      </c>
      <c r="U11" s="440">
        <v>5665866.6566666663</v>
      </c>
      <c r="V11" s="440">
        <v>0</v>
      </c>
      <c r="W11" s="440">
        <v>0</v>
      </c>
      <c r="X11" s="440">
        <v>62266.689999999988</v>
      </c>
      <c r="Y11" s="440">
        <v>0</v>
      </c>
      <c r="Z11" s="440">
        <v>0</v>
      </c>
      <c r="AA11" s="440">
        <v>0</v>
      </c>
      <c r="AB11" s="440">
        <v>0</v>
      </c>
      <c r="AC11" s="440">
        <v>0</v>
      </c>
      <c r="AD11" s="440">
        <v>0</v>
      </c>
      <c r="AE11" s="440">
        <v>0</v>
      </c>
      <c r="AF11" s="440">
        <v>5728133.3466666667</v>
      </c>
      <c r="AH11" s="269"/>
    </row>
    <row r="12" spans="1:34">
      <c r="A12" s="346" t="s">
        <v>1777</v>
      </c>
      <c r="B12" s="346">
        <v>4</v>
      </c>
      <c r="C12" s="346"/>
      <c r="D12" s="346"/>
      <c r="E12" s="346"/>
      <c r="F12" s="346"/>
      <c r="G12" s="346" t="s">
        <v>1860</v>
      </c>
      <c r="H12" s="346" t="s">
        <v>1865</v>
      </c>
      <c r="I12" s="346" t="s">
        <v>1861</v>
      </c>
      <c r="J12" s="346" t="s">
        <v>1862</v>
      </c>
      <c r="K12" s="346" t="s">
        <v>1852</v>
      </c>
      <c r="L12" s="346" t="s">
        <v>1866</v>
      </c>
      <c r="M12" s="346" t="s">
        <v>1864</v>
      </c>
      <c r="N12" s="440">
        <v>0</v>
      </c>
      <c r="O12" s="440">
        <v>40554</v>
      </c>
      <c r="P12" s="440">
        <v>40554</v>
      </c>
      <c r="Q12" s="440">
        <v>1212746.6733333333</v>
      </c>
      <c r="R12" s="440">
        <v>0</v>
      </c>
      <c r="S12" s="440">
        <v>0</v>
      </c>
      <c r="T12" s="440">
        <v>1212746.6733333333</v>
      </c>
      <c r="U12" s="440">
        <v>1212746.6733333333</v>
      </c>
      <c r="V12" s="440">
        <v>0</v>
      </c>
      <c r="W12" s="440">
        <v>0</v>
      </c>
      <c r="X12" s="440">
        <v>0</v>
      </c>
      <c r="Y12" s="440">
        <v>0</v>
      </c>
      <c r="Z12" s="440">
        <v>0</v>
      </c>
      <c r="AA12" s="440">
        <v>0</v>
      </c>
      <c r="AB12" s="440">
        <v>0</v>
      </c>
      <c r="AC12" s="440">
        <v>0</v>
      </c>
      <c r="AD12" s="440">
        <v>0</v>
      </c>
      <c r="AE12" s="440">
        <v>0</v>
      </c>
      <c r="AF12" s="440">
        <v>1212746.6733333333</v>
      </c>
      <c r="AH12" s="269"/>
    </row>
    <row r="13" spans="1:34">
      <c r="A13" s="346" t="s">
        <v>1777</v>
      </c>
      <c r="B13" s="346">
        <v>5</v>
      </c>
      <c r="C13" s="346"/>
      <c r="D13" s="346"/>
      <c r="E13" s="346"/>
      <c r="F13" s="346"/>
      <c r="G13" s="346" t="s">
        <v>1867</v>
      </c>
      <c r="H13" s="346" t="s">
        <v>1850</v>
      </c>
      <c r="I13" s="346" t="s">
        <v>1861</v>
      </c>
      <c r="J13" s="346" t="s">
        <v>1862</v>
      </c>
      <c r="K13" s="346" t="s">
        <v>1852</v>
      </c>
      <c r="L13" s="346" t="s">
        <v>1868</v>
      </c>
      <c r="M13" s="346" t="s">
        <v>1864</v>
      </c>
      <c r="N13" s="440">
        <v>55</v>
      </c>
      <c r="O13" s="440">
        <v>0</v>
      </c>
      <c r="P13" s="440">
        <v>0</v>
      </c>
      <c r="Q13" s="440">
        <v>1735220.02</v>
      </c>
      <c r="R13" s="440">
        <v>0</v>
      </c>
      <c r="S13" s="440">
        <v>0</v>
      </c>
      <c r="T13" s="440">
        <v>1735220.02</v>
      </c>
      <c r="U13" s="440">
        <v>1719653.33</v>
      </c>
      <c r="V13" s="440">
        <v>0</v>
      </c>
      <c r="W13" s="440">
        <v>0</v>
      </c>
      <c r="X13" s="440">
        <v>15566.69</v>
      </c>
      <c r="Y13" s="440">
        <v>0</v>
      </c>
      <c r="Z13" s="440">
        <v>0</v>
      </c>
      <c r="AA13" s="440">
        <v>0</v>
      </c>
      <c r="AB13" s="440">
        <v>0</v>
      </c>
      <c r="AC13" s="440">
        <v>0</v>
      </c>
      <c r="AD13" s="440">
        <v>0</v>
      </c>
      <c r="AE13" s="440">
        <v>0</v>
      </c>
      <c r="AF13" s="440">
        <v>1735220.02</v>
      </c>
      <c r="AH13" s="269"/>
    </row>
    <row r="14" spans="1:34">
      <c r="A14" s="346" t="s">
        <v>1777</v>
      </c>
      <c r="B14" s="346">
        <v>6</v>
      </c>
      <c r="C14" s="346"/>
      <c r="D14" s="346"/>
      <c r="E14" s="346"/>
      <c r="F14" s="346"/>
      <c r="G14" s="346" t="s">
        <v>1869</v>
      </c>
      <c r="H14" s="346" t="s">
        <v>1861</v>
      </c>
      <c r="I14" s="346" t="s">
        <v>1850</v>
      </c>
      <c r="J14" s="346" t="s">
        <v>1851</v>
      </c>
      <c r="K14" s="346" t="s">
        <v>1852</v>
      </c>
      <c r="L14" s="346" t="s">
        <v>1864</v>
      </c>
      <c r="M14" s="346" t="s">
        <v>1864</v>
      </c>
      <c r="N14" s="440">
        <v>0</v>
      </c>
      <c r="O14" s="440">
        <v>1</v>
      </c>
      <c r="P14" s="440">
        <v>1</v>
      </c>
      <c r="Q14" s="440">
        <v>8.08</v>
      </c>
      <c r="R14" s="440">
        <v>0</v>
      </c>
      <c r="S14" s="440">
        <v>0</v>
      </c>
      <c r="T14" s="440">
        <v>8.08</v>
      </c>
      <c r="U14" s="440">
        <v>0</v>
      </c>
      <c r="V14" s="440">
        <v>0</v>
      </c>
      <c r="W14" s="440">
        <v>0</v>
      </c>
      <c r="X14" s="440">
        <v>0.05</v>
      </c>
      <c r="Y14" s="440">
        <v>0</v>
      </c>
      <c r="Z14" s="440">
        <v>0</v>
      </c>
      <c r="AA14" s="440">
        <v>8.0299999999999994</v>
      </c>
      <c r="AB14" s="440">
        <v>0</v>
      </c>
      <c r="AC14" s="440">
        <v>0</v>
      </c>
      <c r="AD14" s="440">
        <v>0</v>
      </c>
      <c r="AE14" s="440">
        <v>0</v>
      </c>
      <c r="AF14" s="440">
        <v>8.08</v>
      </c>
      <c r="AH14" s="269"/>
    </row>
    <row r="15" spans="1:34">
      <c r="A15" s="346" t="s">
        <v>1777</v>
      </c>
      <c r="B15" s="346">
        <v>7</v>
      </c>
      <c r="C15" s="346"/>
      <c r="D15" s="346"/>
      <c r="E15" s="346"/>
      <c r="F15" s="346"/>
      <c r="G15" s="346" t="s">
        <v>1869</v>
      </c>
      <c r="H15" s="346" t="s">
        <v>1861</v>
      </c>
      <c r="I15" s="346" t="s">
        <v>1850</v>
      </c>
      <c r="J15" s="346" t="s">
        <v>1851</v>
      </c>
      <c r="K15" s="346" t="s">
        <v>1852</v>
      </c>
      <c r="L15" s="346" t="s">
        <v>1864</v>
      </c>
      <c r="M15" s="346" t="s">
        <v>1858</v>
      </c>
      <c r="N15" s="440">
        <v>0</v>
      </c>
      <c r="O15" s="440">
        <v>1</v>
      </c>
      <c r="P15" s="440">
        <v>1</v>
      </c>
      <c r="Q15" s="440">
        <v>8.08</v>
      </c>
      <c r="R15" s="440">
        <v>0</v>
      </c>
      <c r="S15" s="440">
        <v>0</v>
      </c>
      <c r="T15" s="440">
        <v>8.08</v>
      </c>
      <c r="U15" s="440">
        <v>0</v>
      </c>
      <c r="V15" s="440">
        <v>0</v>
      </c>
      <c r="W15" s="440">
        <v>0</v>
      </c>
      <c r="X15" s="440">
        <v>0.05</v>
      </c>
      <c r="Y15" s="440">
        <v>0</v>
      </c>
      <c r="Z15" s="440">
        <v>0</v>
      </c>
      <c r="AA15" s="440">
        <v>8.0299999999999994</v>
      </c>
      <c r="AB15" s="440">
        <v>0</v>
      </c>
      <c r="AC15" s="440">
        <v>0</v>
      </c>
      <c r="AD15" s="440">
        <v>0</v>
      </c>
      <c r="AE15" s="440">
        <v>0</v>
      </c>
      <c r="AF15" s="440">
        <v>8.08</v>
      </c>
      <c r="AH15" s="269"/>
    </row>
    <row r="16" spans="1:34">
      <c r="A16" s="346" t="s">
        <v>1777</v>
      </c>
      <c r="B16" s="346">
        <v>8</v>
      </c>
      <c r="C16" s="346"/>
      <c r="D16" s="346"/>
      <c r="E16" s="346"/>
      <c r="F16" s="346"/>
      <c r="G16" s="346" t="s">
        <v>1870</v>
      </c>
      <c r="H16" s="346" t="s">
        <v>1850</v>
      </c>
      <c r="I16" s="346" t="s">
        <v>1861</v>
      </c>
      <c r="J16" s="346" t="s">
        <v>1851</v>
      </c>
      <c r="K16" s="346" t="s">
        <v>1852</v>
      </c>
      <c r="L16" s="346" t="s">
        <v>1871</v>
      </c>
      <c r="M16" s="346" t="s">
        <v>1864</v>
      </c>
      <c r="N16" s="440">
        <v>0</v>
      </c>
      <c r="O16" s="440">
        <v>0</v>
      </c>
      <c r="P16" s="440">
        <v>0</v>
      </c>
      <c r="Q16" s="440">
        <v>1492.4</v>
      </c>
      <c r="R16" s="440">
        <v>0</v>
      </c>
      <c r="S16" s="440">
        <v>0</v>
      </c>
      <c r="T16" s="440">
        <v>1492.4</v>
      </c>
      <c r="U16" s="440">
        <v>0</v>
      </c>
      <c r="V16" s="440">
        <v>0</v>
      </c>
      <c r="W16" s="440">
        <v>0</v>
      </c>
      <c r="X16" s="440">
        <v>8.18</v>
      </c>
      <c r="Y16" s="440">
        <v>0</v>
      </c>
      <c r="Z16" s="440">
        <v>0</v>
      </c>
      <c r="AA16" s="440">
        <v>1484.2199999999998</v>
      </c>
      <c r="AB16" s="440">
        <v>0</v>
      </c>
      <c r="AC16" s="440">
        <v>0</v>
      </c>
      <c r="AD16" s="440">
        <v>0</v>
      </c>
      <c r="AE16" s="440">
        <v>0</v>
      </c>
      <c r="AF16" s="440">
        <v>1492.3999999999999</v>
      </c>
      <c r="AH16" s="269"/>
    </row>
    <row r="17" spans="1:34">
      <c r="A17" s="346" t="s">
        <v>1777</v>
      </c>
      <c r="B17" s="346">
        <v>9</v>
      </c>
      <c r="C17" s="346"/>
      <c r="D17" s="346"/>
      <c r="E17" s="346"/>
      <c r="F17" s="346"/>
      <c r="G17" s="346" t="s">
        <v>1872</v>
      </c>
      <c r="H17" s="346" t="s">
        <v>1850</v>
      </c>
      <c r="I17" s="346" t="s">
        <v>1861</v>
      </c>
      <c r="J17" s="346" t="s">
        <v>1851</v>
      </c>
      <c r="K17" s="346" t="s">
        <v>1852</v>
      </c>
      <c r="L17" s="346" t="s">
        <v>1868</v>
      </c>
      <c r="M17" s="346" t="s">
        <v>1864</v>
      </c>
      <c r="N17" s="440">
        <v>0</v>
      </c>
      <c r="O17" s="440">
        <v>2</v>
      </c>
      <c r="P17" s="440">
        <v>2</v>
      </c>
      <c r="Q17" s="440">
        <v>161.54</v>
      </c>
      <c r="R17" s="440">
        <v>-8.4700000000000006</v>
      </c>
      <c r="S17" s="440">
        <v>0</v>
      </c>
      <c r="T17" s="440">
        <v>153.07</v>
      </c>
      <c r="U17" s="440">
        <v>0</v>
      </c>
      <c r="V17" s="440">
        <v>0</v>
      </c>
      <c r="W17" s="440">
        <v>-8.4700000000000006</v>
      </c>
      <c r="X17" s="440">
        <v>0.94</v>
      </c>
      <c r="Y17" s="440">
        <v>0</v>
      </c>
      <c r="Z17" s="440">
        <v>0</v>
      </c>
      <c r="AA17" s="440">
        <v>160.6</v>
      </c>
      <c r="AB17" s="440">
        <v>0</v>
      </c>
      <c r="AC17" s="440">
        <v>0</v>
      </c>
      <c r="AD17" s="440">
        <v>0</v>
      </c>
      <c r="AE17" s="440">
        <v>0</v>
      </c>
      <c r="AF17" s="440">
        <v>153.07</v>
      </c>
      <c r="AH17" s="269"/>
    </row>
    <row r="18" spans="1:34">
      <c r="A18" s="346" t="s">
        <v>1777</v>
      </c>
      <c r="B18" s="346">
        <v>10</v>
      </c>
      <c r="C18" s="346"/>
      <c r="D18" s="346"/>
      <c r="E18" s="346"/>
      <c r="F18" s="346"/>
      <c r="G18" s="346" t="s">
        <v>1873</v>
      </c>
      <c r="H18" s="346" t="s">
        <v>1850</v>
      </c>
      <c r="I18" s="346" t="s">
        <v>1861</v>
      </c>
      <c r="J18" s="346" t="s">
        <v>1851</v>
      </c>
      <c r="K18" s="346" t="s">
        <v>1852</v>
      </c>
      <c r="L18" s="346" t="s">
        <v>1868</v>
      </c>
      <c r="M18" s="346" t="s">
        <v>1864</v>
      </c>
      <c r="N18" s="440">
        <v>0</v>
      </c>
      <c r="O18" s="440">
        <v>119929</v>
      </c>
      <c r="P18" s="440">
        <v>119929</v>
      </c>
      <c r="Q18" s="440">
        <v>13925.13</v>
      </c>
      <c r="R18" s="440">
        <v>168378.19</v>
      </c>
      <c r="S18" s="440">
        <v>0</v>
      </c>
      <c r="T18" s="440">
        <v>182303.32</v>
      </c>
      <c r="U18" s="440">
        <v>0</v>
      </c>
      <c r="V18" s="440">
        <v>0</v>
      </c>
      <c r="W18" s="440">
        <v>168378.19</v>
      </c>
      <c r="X18" s="440">
        <v>72.72</v>
      </c>
      <c r="Y18" s="440">
        <v>0</v>
      </c>
      <c r="Z18" s="440">
        <v>0</v>
      </c>
      <c r="AA18" s="440">
        <v>13852.41</v>
      </c>
      <c r="AB18" s="440">
        <v>0</v>
      </c>
      <c r="AC18" s="440">
        <v>0</v>
      </c>
      <c r="AD18" s="440">
        <v>0</v>
      </c>
      <c r="AE18" s="440">
        <v>0</v>
      </c>
      <c r="AF18" s="440">
        <v>182303.32</v>
      </c>
      <c r="AH18" s="269"/>
    </row>
    <row r="19" spans="1:34">
      <c r="A19" s="346" t="s">
        <v>1777</v>
      </c>
      <c r="B19" s="346">
        <v>11</v>
      </c>
      <c r="C19" s="346"/>
      <c r="D19" s="346"/>
      <c r="E19" s="346"/>
      <c r="F19" s="346"/>
      <c r="G19" s="346" t="s">
        <v>1873</v>
      </c>
      <c r="H19" s="346" t="s">
        <v>1856</v>
      </c>
      <c r="I19" s="346" t="s">
        <v>1861</v>
      </c>
      <c r="J19" s="346" t="s">
        <v>1851</v>
      </c>
      <c r="K19" s="346" t="s">
        <v>1852</v>
      </c>
      <c r="L19" s="346" t="s">
        <v>1874</v>
      </c>
      <c r="M19" s="346" t="s">
        <v>1864</v>
      </c>
      <c r="N19" s="440">
        <v>0</v>
      </c>
      <c r="O19" s="440">
        <v>145</v>
      </c>
      <c r="P19" s="440">
        <v>145</v>
      </c>
      <c r="Q19" s="440">
        <v>363</v>
      </c>
      <c r="R19" s="440">
        <v>0</v>
      </c>
      <c r="S19" s="440">
        <v>0</v>
      </c>
      <c r="T19" s="440">
        <v>363</v>
      </c>
      <c r="U19" s="440">
        <v>0</v>
      </c>
      <c r="V19" s="440">
        <v>0</v>
      </c>
      <c r="W19" s="440">
        <v>0</v>
      </c>
      <c r="X19" s="440">
        <v>1.88</v>
      </c>
      <c r="Y19" s="440">
        <v>0</v>
      </c>
      <c r="Z19" s="440">
        <v>0</v>
      </c>
      <c r="AA19" s="440">
        <v>361.2</v>
      </c>
      <c r="AB19" s="440">
        <v>0</v>
      </c>
      <c r="AC19" s="440">
        <v>0</v>
      </c>
      <c r="AD19" s="440">
        <v>0</v>
      </c>
      <c r="AE19" s="440">
        <v>0</v>
      </c>
      <c r="AF19" s="440">
        <v>363.08</v>
      </c>
      <c r="AH19" s="269"/>
    </row>
    <row r="20" spans="1:34">
      <c r="A20" s="346" t="s">
        <v>1777</v>
      </c>
      <c r="B20" s="346">
        <v>12</v>
      </c>
      <c r="C20" s="346"/>
      <c r="D20" s="346"/>
      <c r="E20" s="346"/>
      <c r="F20" s="346"/>
      <c r="G20" s="346" t="s">
        <v>1875</v>
      </c>
      <c r="H20" s="346" t="s">
        <v>1850</v>
      </c>
      <c r="I20" s="346" t="s">
        <v>1861</v>
      </c>
      <c r="J20" s="346" t="s">
        <v>1862</v>
      </c>
      <c r="K20" s="346" t="s">
        <v>1852</v>
      </c>
      <c r="L20" s="346" t="s">
        <v>1868</v>
      </c>
      <c r="M20" s="346" t="s">
        <v>1864</v>
      </c>
      <c r="N20" s="440">
        <v>167</v>
      </c>
      <c r="O20" s="440">
        <v>282525</v>
      </c>
      <c r="P20" s="440">
        <v>282525</v>
      </c>
      <c r="Q20" s="440">
        <v>7085370.4800000004</v>
      </c>
      <c r="R20" s="440">
        <v>435320.67</v>
      </c>
      <c r="S20" s="440">
        <v>0</v>
      </c>
      <c r="T20" s="440">
        <v>7520691.1500000004</v>
      </c>
      <c r="U20" s="440">
        <v>7021814.6700000009</v>
      </c>
      <c r="V20" s="440">
        <v>0</v>
      </c>
      <c r="W20" s="440">
        <v>435320.67</v>
      </c>
      <c r="X20" s="440">
        <v>63555.810000000012</v>
      </c>
      <c r="Y20" s="440">
        <v>0</v>
      </c>
      <c r="Z20" s="440">
        <v>0</v>
      </c>
      <c r="AA20" s="440">
        <v>0</v>
      </c>
      <c r="AB20" s="440">
        <v>0</v>
      </c>
      <c r="AC20" s="440">
        <v>0</v>
      </c>
      <c r="AD20" s="440">
        <v>0</v>
      </c>
      <c r="AE20" s="440">
        <v>0</v>
      </c>
      <c r="AF20" s="440">
        <v>7520691.1500000004</v>
      </c>
      <c r="AH20" s="269"/>
    </row>
    <row r="21" spans="1:34">
      <c r="A21" s="346" t="s">
        <v>1777</v>
      </c>
      <c r="B21" s="346">
        <v>13</v>
      </c>
      <c r="C21" s="346"/>
      <c r="D21" s="346"/>
      <c r="E21" s="346"/>
      <c r="F21" s="346"/>
      <c r="G21" s="346" t="s">
        <v>1875</v>
      </c>
      <c r="H21" s="346" t="s">
        <v>1856</v>
      </c>
      <c r="I21" s="346" t="s">
        <v>1861</v>
      </c>
      <c r="J21" s="346" t="s">
        <v>1862</v>
      </c>
      <c r="K21" s="346" t="s">
        <v>1852</v>
      </c>
      <c r="L21" s="346" t="s">
        <v>1863</v>
      </c>
      <c r="M21" s="346" t="s">
        <v>1864</v>
      </c>
      <c r="N21" s="440">
        <v>0</v>
      </c>
      <c r="O21" s="440">
        <v>0</v>
      </c>
      <c r="P21" s="440">
        <v>0</v>
      </c>
      <c r="Q21" s="440">
        <v>159173</v>
      </c>
      <c r="R21" s="440">
        <v>0</v>
      </c>
      <c r="S21" s="440">
        <v>0</v>
      </c>
      <c r="T21" s="440">
        <v>159173</v>
      </c>
      <c r="U21" s="440">
        <v>157738</v>
      </c>
      <c r="V21" s="440">
        <v>0</v>
      </c>
      <c r="W21" s="440">
        <v>0</v>
      </c>
      <c r="X21" s="440">
        <v>1435</v>
      </c>
      <c r="Y21" s="440">
        <v>0</v>
      </c>
      <c r="Z21" s="440">
        <v>0</v>
      </c>
      <c r="AA21" s="440">
        <v>0</v>
      </c>
      <c r="AB21" s="440">
        <v>0</v>
      </c>
      <c r="AC21" s="440">
        <v>0</v>
      </c>
      <c r="AD21" s="440">
        <v>0</v>
      </c>
      <c r="AE21" s="440">
        <v>0</v>
      </c>
      <c r="AF21" s="440">
        <v>159173</v>
      </c>
      <c r="AH21" s="269"/>
    </row>
    <row r="22" spans="1:34">
      <c r="A22" s="346" t="s">
        <v>1777</v>
      </c>
      <c r="B22" s="346">
        <v>14</v>
      </c>
      <c r="C22" s="346"/>
      <c r="D22" s="346"/>
      <c r="E22" s="346"/>
      <c r="F22" s="346"/>
      <c r="G22" s="346" t="s">
        <v>1876</v>
      </c>
      <c r="H22" s="346" t="s">
        <v>1856</v>
      </c>
      <c r="I22" s="346" t="s">
        <v>1865</v>
      </c>
      <c r="J22" s="346" t="s">
        <v>1851</v>
      </c>
      <c r="K22" s="346" t="s">
        <v>1852</v>
      </c>
      <c r="L22" s="346" t="s">
        <v>1858</v>
      </c>
      <c r="M22" s="346" t="s">
        <v>1877</v>
      </c>
      <c r="N22" s="440">
        <v>0</v>
      </c>
      <c r="O22" s="440">
        <v>144</v>
      </c>
      <c r="P22" s="440">
        <v>144</v>
      </c>
      <c r="Q22" s="440">
        <v>1163.0899999999999</v>
      </c>
      <c r="R22" s="440">
        <v>63.5</v>
      </c>
      <c r="S22" s="440">
        <v>0</v>
      </c>
      <c r="T22" s="440">
        <v>1226.5899999999999</v>
      </c>
      <c r="U22" s="440">
        <v>0</v>
      </c>
      <c r="V22" s="440">
        <v>0</v>
      </c>
      <c r="W22" s="440">
        <v>63.5</v>
      </c>
      <c r="X22" s="440">
        <v>0</v>
      </c>
      <c r="Y22" s="440">
        <v>0</v>
      </c>
      <c r="Z22" s="440">
        <v>0</v>
      </c>
      <c r="AA22" s="440">
        <v>0</v>
      </c>
      <c r="AB22" s="440">
        <v>0</v>
      </c>
      <c r="AC22" s="440">
        <v>0</v>
      </c>
      <c r="AD22" s="440">
        <v>0</v>
      </c>
      <c r="AE22" s="440">
        <v>0</v>
      </c>
      <c r="AF22" s="440">
        <v>63.5</v>
      </c>
      <c r="AH22" s="269"/>
    </row>
    <row r="23" spans="1:34">
      <c r="A23" s="346" t="s">
        <v>1777</v>
      </c>
      <c r="B23" s="346">
        <v>15</v>
      </c>
      <c r="C23" s="346"/>
      <c r="D23" s="346"/>
      <c r="E23" s="346"/>
      <c r="F23" s="346"/>
      <c r="G23" s="346" t="s">
        <v>1878</v>
      </c>
      <c r="H23" s="346" t="s">
        <v>1850</v>
      </c>
      <c r="I23" s="346" t="s">
        <v>1861</v>
      </c>
      <c r="J23" s="346" t="s">
        <v>1862</v>
      </c>
      <c r="K23" s="346" t="s">
        <v>1852</v>
      </c>
      <c r="L23" s="346" t="s">
        <v>1868</v>
      </c>
      <c r="M23" s="346" t="s">
        <v>1864</v>
      </c>
      <c r="N23" s="440">
        <v>130</v>
      </c>
      <c r="O23" s="440">
        <v>477430</v>
      </c>
      <c r="P23" s="440">
        <v>477430</v>
      </c>
      <c r="Q23" s="440">
        <v>5639465</v>
      </c>
      <c r="R23" s="440">
        <v>481145</v>
      </c>
      <c r="S23" s="440">
        <v>0</v>
      </c>
      <c r="T23" s="440">
        <v>6120610</v>
      </c>
      <c r="U23" s="440">
        <v>5588873.3099999996</v>
      </c>
      <c r="V23" s="440">
        <v>0</v>
      </c>
      <c r="W23" s="440">
        <v>481145</v>
      </c>
      <c r="X23" s="440">
        <v>50591.689999999988</v>
      </c>
      <c r="Y23" s="440">
        <v>0</v>
      </c>
      <c r="Z23" s="440">
        <v>0</v>
      </c>
      <c r="AA23" s="440">
        <v>0</v>
      </c>
      <c r="AB23" s="440">
        <v>0</v>
      </c>
      <c r="AC23" s="440">
        <v>0</v>
      </c>
      <c r="AD23" s="440">
        <v>0</v>
      </c>
      <c r="AE23" s="440">
        <v>0</v>
      </c>
      <c r="AF23" s="440">
        <v>6120610</v>
      </c>
      <c r="AH23" s="269"/>
    </row>
    <row r="24" spans="1:34">
      <c r="A24" s="346" t="s">
        <v>1777</v>
      </c>
      <c r="B24" s="346">
        <v>16</v>
      </c>
      <c r="C24" s="346"/>
      <c r="D24" s="346"/>
      <c r="E24" s="346"/>
      <c r="F24" s="346"/>
      <c r="G24" s="346" t="s">
        <v>1876</v>
      </c>
      <c r="H24" s="346" t="s">
        <v>1850</v>
      </c>
      <c r="I24" s="346" t="s">
        <v>1861</v>
      </c>
      <c r="J24" s="346" t="s">
        <v>1851</v>
      </c>
      <c r="K24" s="346" t="s">
        <v>1852</v>
      </c>
      <c r="L24" s="346" t="s">
        <v>1868</v>
      </c>
      <c r="M24" s="346" t="s">
        <v>1864</v>
      </c>
      <c r="N24" s="440">
        <v>0</v>
      </c>
      <c r="O24" s="440">
        <v>462</v>
      </c>
      <c r="P24" s="440">
        <v>462</v>
      </c>
      <c r="Q24" s="440">
        <v>7389</v>
      </c>
      <c r="R24" s="440">
        <v>0</v>
      </c>
      <c r="S24" s="440">
        <v>0</v>
      </c>
      <c r="T24" s="440">
        <v>7389</v>
      </c>
      <c r="U24" s="440">
        <v>0</v>
      </c>
      <c r="V24" s="440">
        <v>0</v>
      </c>
      <c r="W24" s="440">
        <v>0</v>
      </c>
      <c r="X24" s="440">
        <v>38.309999999999995</v>
      </c>
      <c r="Y24" s="440">
        <v>0</v>
      </c>
      <c r="Z24" s="440">
        <v>0</v>
      </c>
      <c r="AA24" s="440">
        <v>7358.4499999999989</v>
      </c>
      <c r="AB24" s="440">
        <v>0</v>
      </c>
      <c r="AC24" s="440">
        <v>0</v>
      </c>
      <c r="AD24" s="440">
        <v>0</v>
      </c>
      <c r="AE24" s="440">
        <v>0</v>
      </c>
      <c r="AF24" s="440">
        <v>7396.7599999999993</v>
      </c>
      <c r="AH24" s="269"/>
    </row>
    <row r="25" spans="1:34">
      <c r="A25" s="346" t="s">
        <v>1777</v>
      </c>
      <c r="B25" s="346">
        <v>17</v>
      </c>
      <c r="C25" s="346"/>
      <c r="D25" s="346"/>
      <c r="E25" s="346"/>
      <c r="F25" s="346"/>
      <c r="G25" s="346" t="s">
        <v>1876</v>
      </c>
      <c r="H25" s="346" t="s">
        <v>1856</v>
      </c>
      <c r="I25" s="346" t="s">
        <v>1861</v>
      </c>
      <c r="J25" s="346" t="s">
        <v>1851</v>
      </c>
      <c r="K25" s="346" t="s">
        <v>1852</v>
      </c>
      <c r="L25" s="346" t="s">
        <v>1874</v>
      </c>
      <c r="M25" s="346" t="s">
        <v>1864</v>
      </c>
      <c r="N25" s="440">
        <v>0</v>
      </c>
      <c r="O25" s="440">
        <v>0</v>
      </c>
      <c r="P25" s="440">
        <v>0</v>
      </c>
      <c r="Q25" s="440">
        <v>363.08</v>
      </c>
      <c r="R25" s="440">
        <v>0</v>
      </c>
      <c r="S25" s="440">
        <v>0</v>
      </c>
      <c r="T25" s="440">
        <v>363.08</v>
      </c>
      <c r="U25" s="440">
        <v>0</v>
      </c>
      <c r="V25" s="440">
        <v>0</v>
      </c>
      <c r="W25" s="440">
        <v>0</v>
      </c>
      <c r="X25" s="440">
        <v>1.88</v>
      </c>
      <c r="Y25" s="440">
        <v>0</v>
      </c>
      <c r="Z25" s="440">
        <v>0</v>
      </c>
      <c r="AA25" s="440">
        <v>361.2</v>
      </c>
      <c r="AB25" s="440">
        <v>0</v>
      </c>
      <c r="AC25" s="440">
        <v>0</v>
      </c>
      <c r="AD25" s="440">
        <v>0</v>
      </c>
      <c r="AE25" s="440">
        <v>0</v>
      </c>
      <c r="AF25" s="440">
        <v>363.08</v>
      </c>
      <c r="AH25" s="269"/>
    </row>
    <row r="26" spans="1:34">
      <c r="A26" s="346" t="s">
        <v>1777</v>
      </c>
      <c r="B26" s="346">
        <v>18</v>
      </c>
      <c r="C26" s="346"/>
      <c r="D26" s="346"/>
      <c r="E26" s="346"/>
      <c r="F26" s="346"/>
      <c r="G26" s="346" t="s">
        <v>1876</v>
      </c>
      <c r="H26" s="346" t="s">
        <v>1850</v>
      </c>
      <c r="I26" s="346" t="s">
        <v>1861</v>
      </c>
      <c r="J26" s="346" t="s">
        <v>1851</v>
      </c>
      <c r="K26" s="346" t="s">
        <v>1852</v>
      </c>
      <c r="L26" s="346" t="s">
        <v>1868</v>
      </c>
      <c r="M26" s="346" t="s">
        <v>1864</v>
      </c>
      <c r="N26" s="440">
        <v>0</v>
      </c>
      <c r="O26" s="440">
        <v>0</v>
      </c>
      <c r="P26" s="440">
        <v>0</v>
      </c>
      <c r="Q26" s="440">
        <v>8.08</v>
      </c>
      <c r="R26" s="440">
        <v>0</v>
      </c>
      <c r="S26" s="440">
        <v>0</v>
      </c>
      <c r="T26" s="440">
        <v>8.08</v>
      </c>
      <c r="U26" s="440">
        <v>0</v>
      </c>
      <c r="V26" s="440">
        <v>0</v>
      </c>
      <c r="W26" s="440">
        <v>0</v>
      </c>
      <c r="X26" s="440">
        <v>0</v>
      </c>
      <c r="Y26" s="440">
        <v>0</v>
      </c>
      <c r="Z26" s="440">
        <v>0</v>
      </c>
      <c r="AA26" s="440">
        <v>0</v>
      </c>
      <c r="AB26" s="440">
        <v>0</v>
      </c>
      <c r="AC26" s="440">
        <v>0</v>
      </c>
      <c r="AD26" s="440">
        <v>0</v>
      </c>
      <c r="AE26" s="440">
        <v>0</v>
      </c>
      <c r="AF26" s="440">
        <v>0</v>
      </c>
      <c r="AH26" s="269"/>
    </row>
    <row r="27" spans="1:34">
      <c r="A27" s="346" t="s">
        <v>1777</v>
      </c>
      <c r="B27" s="346">
        <v>19</v>
      </c>
      <c r="C27" s="346"/>
      <c r="D27" s="346"/>
      <c r="E27" s="346"/>
      <c r="F27" s="346"/>
      <c r="G27" s="346" t="s">
        <v>1879</v>
      </c>
      <c r="H27" s="346" t="s">
        <v>1880</v>
      </c>
      <c r="I27" s="346" t="s">
        <v>1881</v>
      </c>
      <c r="J27" s="346" t="s">
        <v>1882</v>
      </c>
      <c r="K27" s="346" t="s">
        <v>1883</v>
      </c>
      <c r="L27" s="346" t="s">
        <v>1858</v>
      </c>
      <c r="M27" s="346" t="s">
        <v>1884</v>
      </c>
      <c r="N27" s="440">
        <v>43</v>
      </c>
      <c r="O27" s="440">
        <v>0</v>
      </c>
      <c r="P27" s="440">
        <v>0</v>
      </c>
      <c r="Q27" s="440">
        <v>57888</v>
      </c>
      <c r="R27" s="440">
        <v>0</v>
      </c>
      <c r="S27" s="440">
        <v>0</v>
      </c>
      <c r="T27" s="440">
        <v>57888</v>
      </c>
      <c r="U27" s="440">
        <v>0</v>
      </c>
      <c r="V27" s="440">
        <v>57888</v>
      </c>
      <c r="W27" s="440">
        <v>0</v>
      </c>
      <c r="X27" s="440">
        <v>0</v>
      </c>
      <c r="Y27" s="440">
        <v>0</v>
      </c>
      <c r="Z27" s="440">
        <v>0</v>
      </c>
      <c r="AA27" s="440">
        <v>0</v>
      </c>
      <c r="AB27" s="440">
        <v>0</v>
      </c>
      <c r="AC27" s="440">
        <v>0</v>
      </c>
      <c r="AD27" s="440">
        <v>0</v>
      </c>
      <c r="AE27" s="440">
        <v>0</v>
      </c>
      <c r="AF27" s="440">
        <v>57888</v>
      </c>
      <c r="AH27" s="269"/>
    </row>
    <row r="28" spans="1:34">
      <c r="A28" s="346" t="s">
        <v>1777</v>
      </c>
      <c r="B28" s="346">
        <v>20</v>
      </c>
      <c r="C28" s="346"/>
      <c r="D28" s="346"/>
      <c r="E28" s="346"/>
      <c r="F28" s="346"/>
      <c r="G28" s="346" t="s">
        <v>1885</v>
      </c>
      <c r="H28" s="346" t="s">
        <v>1880</v>
      </c>
      <c r="I28" s="346" t="s">
        <v>1886</v>
      </c>
      <c r="J28" s="346" t="s">
        <v>1887</v>
      </c>
      <c r="K28" s="346" t="s">
        <v>1852</v>
      </c>
      <c r="L28" s="346">
        <v>0</v>
      </c>
      <c r="M28" s="346">
        <v>0</v>
      </c>
      <c r="N28" s="440">
        <v>0</v>
      </c>
      <c r="O28" s="440">
        <v>122830.79100000001</v>
      </c>
      <c r="P28" s="440">
        <v>122830.79100000001</v>
      </c>
      <c r="Q28" s="440">
        <v>1219433.6200000001</v>
      </c>
      <c r="R28" s="440">
        <v>151660.5</v>
      </c>
      <c r="S28" s="440">
        <v>21689.71</v>
      </c>
      <c r="T28" s="440">
        <v>1392783.83</v>
      </c>
      <c r="U28" s="440">
        <v>1219433.6200000001</v>
      </c>
      <c r="V28" s="440">
        <v>0</v>
      </c>
      <c r="W28" s="440">
        <v>151660.5</v>
      </c>
      <c r="X28" s="440">
        <v>0</v>
      </c>
      <c r="Y28" s="440">
        <v>0</v>
      </c>
      <c r="Z28" s="440">
        <v>0</v>
      </c>
      <c r="AA28" s="440">
        <v>0</v>
      </c>
      <c r="AB28" s="440">
        <v>0</v>
      </c>
      <c r="AC28" s="440">
        <v>0</v>
      </c>
      <c r="AD28" s="440">
        <v>21689.71</v>
      </c>
      <c r="AE28" s="440">
        <v>0</v>
      </c>
      <c r="AF28" s="440">
        <v>1392783.83</v>
      </c>
      <c r="AH28" s="269"/>
    </row>
    <row r="29" spans="1:34">
      <c r="A29" s="346" t="s">
        <v>1777</v>
      </c>
      <c r="B29" s="346">
        <v>21</v>
      </c>
      <c r="C29" s="346"/>
      <c r="D29" s="346"/>
      <c r="E29" s="346"/>
      <c r="F29" s="346"/>
      <c r="G29" s="346" t="s">
        <v>1888</v>
      </c>
      <c r="H29" s="346" t="s">
        <v>1849</v>
      </c>
      <c r="I29" s="346" t="s">
        <v>1856</v>
      </c>
      <c r="J29" s="346" t="s">
        <v>1851</v>
      </c>
      <c r="K29" s="346" t="s">
        <v>1852</v>
      </c>
      <c r="L29" s="346" t="s">
        <v>1889</v>
      </c>
      <c r="M29" s="346" t="s">
        <v>1858</v>
      </c>
      <c r="N29" s="440">
        <v>0</v>
      </c>
      <c r="O29" s="440">
        <v>16</v>
      </c>
      <c r="P29" s="440">
        <v>16</v>
      </c>
      <c r="Q29" s="440">
        <v>181.54</v>
      </c>
      <c r="R29" s="440">
        <v>0</v>
      </c>
      <c r="S29" s="440">
        <v>0</v>
      </c>
      <c r="T29" s="440">
        <v>181.54</v>
      </c>
      <c r="U29" s="440">
        <v>0</v>
      </c>
      <c r="V29" s="440">
        <v>0</v>
      </c>
      <c r="W29" s="440">
        <v>0</v>
      </c>
      <c r="X29" s="440">
        <v>0.94</v>
      </c>
      <c r="Y29" s="440">
        <v>0</v>
      </c>
      <c r="Z29" s="440">
        <v>0</v>
      </c>
      <c r="AA29" s="440">
        <v>180.6</v>
      </c>
      <c r="AB29" s="440">
        <v>0</v>
      </c>
      <c r="AC29" s="440">
        <v>0</v>
      </c>
      <c r="AD29" s="440">
        <v>0</v>
      </c>
      <c r="AE29" s="440">
        <v>0</v>
      </c>
      <c r="AF29" s="440">
        <v>181.54</v>
      </c>
      <c r="AH29" s="269"/>
    </row>
    <row r="30" spans="1:34">
      <c r="A30" s="346" t="s">
        <v>1777</v>
      </c>
      <c r="B30" s="346">
        <v>22</v>
      </c>
      <c r="C30" s="346"/>
      <c r="D30" s="346"/>
      <c r="E30" s="346"/>
      <c r="F30" s="346"/>
      <c r="G30" s="346" t="s">
        <v>1888</v>
      </c>
      <c r="H30" s="346" t="s">
        <v>1856</v>
      </c>
      <c r="I30" s="346" t="s">
        <v>1856</v>
      </c>
      <c r="J30" s="346" t="s">
        <v>1851</v>
      </c>
      <c r="K30" s="346" t="s">
        <v>1852</v>
      </c>
      <c r="L30" s="346" t="s">
        <v>1874</v>
      </c>
      <c r="M30" s="346" t="s">
        <v>1858</v>
      </c>
      <c r="N30" s="440">
        <v>0</v>
      </c>
      <c r="O30" s="440">
        <v>2334</v>
      </c>
      <c r="P30" s="440">
        <v>2334</v>
      </c>
      <c r="Q30" s="440">
        <v>317.7</v>
      </c>
      <c r="R30" s="440">
        <v>56542.27</v>
      </c>
      <c r="S30" s="440">
        <v>0</v>
      </c>
      <c r="T30" s="440">
        <v>56859.969999999994</v>
      </c>
      <c r="U30" s="440">
        <v>0</v>
      </c>
      <c r="V30" s="440">
        <v>0</v>
      </c>
      <c r="W30" s="440">
        <v>56542.27</v>
      </c>
      <c r="X30" s="440">
        <v>1.65</v>
      </c>
      <c r="Y30" s="440">
        <v>0</v>
      </c>
      <c r="Z30" s="440">
        <v>0</v>
      </c>
      <c r="AA30" s="440">
        <v>316.05</v>
      </c>
      <c r="AB30" s="440">
        <v>0</v>
      </c>
      <c r="AC30" s="440">
        <v>0</v>
      </c>
      <c r="AD30" s="440">
        <v>0</v>
      </c>
      <c r="AE30" s="440">
        <v>0</v>
      </c>
      <c r="AF30" s="440">
        <v>56859.97</v>
      </c>
      <c r="AH30" s="269"/>
    </row>
    <row r="31" spans="1:34">
      <c r="A31" s="346" t="s">
        <v>1777</v>
      </c>
      <c r="B31" s="346">
        <v>23</v>
      </c>
      <c r="C31" s="346"/>
      <c r="D31" s="346"/>
      <c r="E31" s="346"/>
      <c r="F31" s="346"/>
      <c r="G31" s="346" t="s">
        <v>1888</v>
      </c>
      <c r="H31" s="346" t="s">
        <v>1850</v>
      </c>
      <c r="I31" s="346" t="s">
        <v>1861</v>
      </c>
      <c r="J31" s="346" t="s">
        <v>1851</v>
      </c>
      <c r="K31" s="346" t="s">
        <v>1852</v>
      </c>
      <c r="L31" s="346" t="s">
        <v>1871</v>
      </c>
      <c r="M31" s="346" t="s">
        <v>1864</v>
      </c>
      <c r="N31" s="440">
        <v>0</v>
      </c>
      <c r="O31" s="440">
        <v>1744</v>
      </c>
      <c r="P31" s="440">
        <v>1744</v>
      </c>
      <c r="Q31" s="440">
        <v>58737.27</v>
      </c>
      <c r="R31" s="440">
        <v>171925.84</v>
      </c>
      <c r="S31" s="440">
        <v>0</v>
      </c>
      <c r="T31" s="440">
        <v>230663.11</v>
      </c>
      <c r="U31" s="440">
        <v>0</v>
      </c>
      <c r="V31" s="440">
        <v>0</v>
      </c>
      <c r="W31" s="440">
        <v>171925.84</v>
      </c>
      <c r="X31" s="440">
        <v>304.14</v>
      </c>
      <c r="Y31" s="440">
        <v>0</v>
      </c>
      <c r="Z31" s="440">
        <v>0</v>
      </c>
      <c r="AA31" s="440">
        <v>58433.13</v>
      </c>
      <c r="AB31" s="440">
        <v>0</v>
      </c>
      <c r="AC31" s="440">
        <v>0</v>
      </c>
      <c r="AD31" s="440">
        <v>0</v>
      </c>
      <c r="AE31" s="440">
        <v>0</v>
      </c>
      <c r="AF31" s="440">
        <v>230663.11000000002</v>
      </c>
      <c r="AH31" s="269"/>
    </row>
    <row r="32" spans="1:34">
      <c r="A32" s="346" t="s">
        <v>1777</v>
      </c>
      <c r="B32" s="346">
        <v>24</v>
      </c>
      <c r="C32" s="346"/>
      <c r="D32" s="346"/>
      <c r="E32" s="346"/>
      <c r="F32" s="346"/>
      <c r="G32" s="346" t="s">
        <v>1888</v>
      </c>
      <c r="H32" s="346" t="s">
        <v>1856</v>
      </c>
      <c r="I32" s="346" t="s">
        <v>1861</v>
      </c>
      <c r="J32" s="346" t="s">
        <v>1851</v>
      </c>
      <c r="K32" s="346" t="s">
        <v>1852</v>
      </c>
      <c r="L32" s="346" t="s">
        <v>1874</v>
      </c>
      <c r="M32" s="346" t="s">
        <v>1864</v>
      </c>
      <c r="N32" s="440">
        <v>0</v>
      </c>
      <c r="O32" s="440">
        <v>88744</v>
      </c>
      <c r="P32" s="440">
        <v>88744</v>
      </c>
      <c r="Q32" s="440">
        <v>382778.48000000004</v>
      </c>
      <c r="R32" s="440">
        <v>367514.94</v>
      </c>
      <c r="S32" s="440">
        <v>0</v>
      </c>
      <c r="T32" s="440">
        <v>750293.42</v>
      </c>
      <c r="U32" s="440">
        <v>0</v>
      </c>
      <c r="V32" s="440">
        <v>0</v>
      </c>
      <c r="W32" s="440">
        <v>367514.94</v>
      </c>
      <c r="X32" s="440">
        <v>3239.7999999999997</v>
      </c>
      <c r="Y32" s="440">
        <v>0</v>
      </c>
      <c r="Z32" s="440">
        <v>0</v>
      </c>
      <c r="AA32" s="440">
        <v>586422.96</v>
      </c>
      <c r="AB32" s="440">
        <v>0</v>
      </c>
      <c r="AC32" s="440">
        <v>0</v>
      </c>
      <c r="AD32" s="440">
        <v>0</v>
      </c>
      <c r="AE32" s="440">
        <v>0</v>
      </c>
      <c r="AF32" s="440">
        <v>957177.7</v>
      </c>
      <c r="AH32" s="269"/>
    </row>
    <row r="33" spans="1:34">
      <c r="A33" s="346" t="s">
        <v>1777</v>
      </c>
      <c r="B33" s="346">
        <v>25</v>
      </c>
      <c r="C33" s="346"/>
      <c r="D33" s="346"/>
      <c r="E33" s="346"/>
      <c r="F33" s="346"/>
      <c r="G33" s="346" t="s">
        <v>1890</v>
      </c>
      <c r="H33" s="346" t="s">
        <v>1856</v>
      </c>
      <c r="I33" s="346" t="s">
        <v>1861</v>
      </c>
      <c r="J33" s="346" t="s">
        <v>1851</v>
      </c>
      <c r="K33" s="346" t="s">
        <v>1852</v>
      </c>
      <c r="L33" s="346" t="s">
        <v>1891</v>
      </c>
      <c r="M33" s="346" t="s">
        <v>1864</v>
      </c>
      <c r="N33" s="440">
        <v>0</v>
      </c>
      <c r="O33" s="440">
        <v>10076</v>
      </c>
      <c r="P33" s="440">
        <v>10076</v>
      </c>
      <c r="Q33" s="440">
        <v>206884.28</v>
      </c>
      <c r="R33" s="440">
        <v>444185.42</v>
      </c>
      <c r="S33" s="440">
        <v>0</v>
      </c>
      <c r="T33" s="440">
        <v>651069.69999999995</v>
      </c>
      <c r="U33" s="440">
        <v>0</v>
      </c>
      <c r="V33" s="440">
        <v>0</v>
      </c>
      <c r="W33" s="440">
        <v>444185.42</v>
      </c>
      <c r="X33" s="440">
        <v>0</v>
      </c>
      <c r="Y33" s="440">
        <v>0</v>
      </c>
      <c r="Z33" s="440">
        <v>0</v>
      </c>
      <c r="AA33" s="440">
        <v>0</v>
      </c>
      <c r="AB33" s="440">
        <v>0</v>
      </c>
      <c r="AC33" s="440">
        <v>0</v>
      </c>
      <c r="AD33" s="440">
        <v>0</v>
      </c>
      <c r="AE33" s="440">
        <v>0</v>
      </c>
      <c r="AF33" s="440">
        <v>444185.42</v>
      </c>
      <c r="AH33" s="269"/>
    </row>
    <row r="34" spans="1:34">
      <c r="A34" s="346" t="s">
        <v>1777</v>
      </c>
      <c r="B34" s="346">
        <v>26</v>
      </c>
      <c r="C34" s="346"/>
      <c r="D34" s="346"/>
      <c r="E34" s="346"/>
      <c r="F34" s="346"/>
      <c r="G34" s="346" t="s">
        <v>1892</v>
      </c>
      <c r="H34" s="346" t="s">
        <v>1861</v>
      </c>
      <c r="I34" s="346" t="s">
        <v>1861</v>
      </c>
      <c r="J34" s="346" t="s">
        <v>1857</v>
      </c>
      <c r="K34" s="346" t="s">
        <v>1852</v>
      </c>
      <c r="L34" s="346" t="s">
        <v>1864</v>
      </c>
      <c r="M34" s="346" t="s">
        <v>1864</v>
      </c>
      <c r="N34" s="440">
        <v>0</v>
      </c>
      <c r="O34" s="440">
        <v>203</v>
      </c>
      <c r="P34" s="440">
        <v>203</v>
      </c>
      <c r="Q34" s="440">
        <v>2950.03</v>
      </c>
      <c r="R34" s="440">
        <v>0</v>
      </c>
      <c r="S34" s="440">
        <v>0</v>
      </c>
      <c r="T34" s="440">
        <v>2950.03</v>
      </c>
      <c r="U34" s="440">
        <v>0</v>
      </c>
      <c r="V34" s="440">
        <v>0</v>
      </c>
      <c r="W34" s="440">
        <v>0</v>
      </c>
      <c r="X34" s="440">
        <v>15.28</v>
      </c>
      <c r="Y34" s="440">
        <v>0</v>
      </c>
      <c r="Z34" s="440">
        <v>2934.75</v>
      </c>
      <c r="AA34" s="440">
        <v>0</v>
      </c>
      <c r="AB34" s="440">
        <v>0</v>
      </c>
      <c r="AC34" s="440">
        <v>0</v>
      </c>
      <c r="AD34" s="440">
        <v>0</v>
      </c>
      <c r="AE34" s="440">
        <v>0</v>
      </c>
      <c r="AF34" s="440">
        <v>2950.03</v>
      </c>
      <c r="AH34" s="269"/>
    </row>
    <row r="35" spans="1:34">
      <c r="A35" s="346" t="s">
        <v>1777</v>
      </c>
      <c r="B35" s="346">
        <v>27</v>
      </c>
      <c r="C35" s="346"/>
      <c r="D35" s="346"/>
      <c r="E35" s="346"/>
      <c r="F35" s="346"/>
      <c r="G35" s="346" t="s">
        <v>1892</v>
      </c>
      <c r="H35" s="346" t="s">
        <v>1849</v>
      </c>
      <c r="I35" s="346" t="s">
        <v>1856</v>
      </c>
      <c r="J35" s="346" t="s">
        <v>1857</v>
      </c>
      <c r="K35" s="346" t="s">
        <v>1852</v>
      </c>
      <c r="L35" s="346" t="s">
        <v>1889</v>
      </c>
      <c r="M35" s="346" t="s">
        <v>1858</v>
      </c>
      <c r="N35" s="440">
        <v>0</v>
      </c>
      <c r="O35" s="440">
        <v>0</v>
      </c>
      <c r="P35" s="440">
        <v>0</v>
      </c>
      <c r="Q35" s="440">
        <v>535.54</v>
      </c>
      <c r="R35" s="440">
        <v>0</v>
      </c>
      <c r="S35" s="440">
        <v>0</v>
      </c>
      <c r="T35" s="440">
        <v>535.54</v>
      </c>
      <c r="U35" s="440">
        <v>0</v>
      </c>
      <c r="V35" s="440">
        <v>0</v>
      </c>
      <c r="W35" s="440">
        <v>0</v>
      </c>
      <c r="X35" s="440">
        <v>2.77</v>
      </c>
      <c r="Y35" s="440">
        <v>0</v>
      </c>
      <c r="Z35" s="440">
        <v>532.77</v>
      </c>
      <c r="AA35" s="440">
        <v>0</v>
      </c>
      <c r="AB35" s="440">
        <v>0</v>
      </c>
      <c r="AC35" s="440">
        <v>0</v>
      </c>
      <c r="AD35" s="440">
        <v>0</v>
      </c>
      <c r="AE35" s="440">
        <v>0</v>
      </c>
      <c r="AF35" s="440">
        <v>535.54</v>
      </c>
      <c r="AH35" s="269"/>
    </row>
    <row r="36" spans="1:34">
      <c r="A36" s="346" t="s">
        <v>1777</v>
      </c>
      <c r="B36" s="346">
        <v>28</v>
      </c>
      <c r="C36" s="346"/>
      <c r="D36" s="346"/>
      <c r="E36" s="346"/>
      <c r="F36" s="346"/>
      <c r="G36" s="346" t="s">
        <v>1893</v>
      </c>
      <c r="H36" s="346" t="s">
        <v>1856</v>
      </c>
      <c r="I36" s="346" t="s">
        <v>1861</v>
      </c>
      <c r="J36" s="346" t="s">
        <v>1862</v>
      </c>
      <c r="K36" s="346" t="s">
        <v>1852</v>
      </c>
      <c r="L36" s="346" t="s">
        <v>1891</v>
      </c>
      <c r="M36" s="346" t="s">
        <v>1864</v>
      </c>
      <c r="N36" s="440">
        <v>243</v>
      </c>
      <c r="O36" s="440">
        <v>622413</v>
      </c>
      <c r="P36" s="440">
        <v>622413</v>
      </c>
      <c r="Q36" s="440">
        <v>10038127.5</v>
      </c>
      <c r="R36" s="440">
        <v>0</v>
      </c>
      <c r="S36" s="440">
        <v>0</v>
      </c>
      <c r="T36" s="440">
        <v>10038127.5</v>
      </c>
      <c r="U36" s="440">
        <v>9943560</v>
      </c>
      <c r="V36" s="440">
        <v>0</v>
      </c>
      <c r="W36" s="440">
        <v>0</v>
      </c>
      <c r="X36" s="440">
        <v>94567.5</v>
      </c>
      <c r="Y36" s="440">
        <v>0</v>
      </c>
      <c r="Z36" s="440">
        <v>0</v>
      </c>
      <c r="AA36" s="440">
        <v>0</v>
      </c>
      <c r="AB36" s="440">
        <v>0</v>
      </c>
      <c r="AC36" s="440">
        <v>0</v>
      </c>
      <c r="AD36" s="440">
        <v>0</v>
      </c>
      <c r="AE36" s="440">
        <v>0</v>
      </c>
      <c r="AF36" s="440">
        <v>10038127.5</v>
      </c>
      <c r="AH36" s="269"/>
    </row>
    <row r="37" spans="1:34">
      <c r="A37" s="346" t="s">
        <v>1777</v>
      </c>
      <c r="B37" s="346">
        <v>29</v>
      </c>
      <c r="C37" s="346"/>
      <c r="D37" s="346"/>
      <c r="E37" s="346"/>
      <c r="F37" s="346"/>
      <c r="G37" s="346" t="s">
        <v>1894</v>
      </c>
      <c r="H37" s="346" t="s">
        <v>1856</v>
      </c>
      <c r="I37" s="346" t="s">
        <v>1865</v>
      </c>
      <c r="J37" s="346" t="s">
        <v>1851</v>
      </c>
      <c r="K37" s="346" t="s">
        <v>1852</v>
      </c>
      <c r="L37" s="346" t="s">
        <v>1858</v>
      </c>
      <c r="M37" s="346" t="s">
        <v>1877</v>
      </c>
      <c r="N37" s="440">
        <v>0</v>
      </c>
      <c r="O37" s="440">
        <v>353</v>
      </c>
      <c r="P37" s="440">
        <v>353</v>
      </c>
      <c r="Q37" s="440">
        <v>0</v>
      </c>
      <c r="R37" s="440">
        <v>0</v>
      </c>
      <c r="S37" s="440">
        <v>0</v>
      </c>
      <c r="T37" s="440">
        <v>0</v>
      </c>
      <c r="U37" s="440">
        <v>0</v>
      </c>
      <c r="V37" s="440">
        <v>0</v>
      </c>
      <c r="W37" s="440">
        <v>0</v>
      </c>
      <c r="X37" s="440">
        <v>14.53</v>
      </c>
      <c r="Y37" s="440">
        <v>0</v>
      </c>
      <c r="Z37" s="440">
        <v>0</v>
      </c>
      <c r="AA37" s="440">
        <v>2357.19</v>
      </c>
      <c r="AB37" s="440">
        <v>0</v>
      </c>
      <c r="AC37" s="440">
        <v>0</v>
      </c>
      <c r="AD37" s="440">
        <v>0</v>
      </c>
      <c r="AE37" s="440">
        <v>0</v>
      </c>
      <c r="AF37" s="440">
        <v>2371.7200000000003</v>
      </c>
      <c r="AH37" s="269"/>
    </row>
    <row r="38" spans="1:34">
      <c r="A38" s="346" t="s">
        <v>1777</v>
      </c>
      <c r="B38" s="346">
        <v>30</v>
      </c>
      <c r="C38" s="346"/>
      <c r="D38" s="346"/>
      <c r="E38" s="346"/>
      <c r="F38" s="346"/>
      <c r="G38" s="346" t="s">
        <v>1895</v>
      </c>
      <c r="H38" s="346" t="s">
        <v>1861</v>
      </c>
      <c r="I38" s="346" t="s">
        <v>1850</v>
      </c>
      <c r="J38" s="346" t="s">
        <v>1857</v>
      </c>
      <c r="K38" s="346" t="s">
        <v>1852</v>
      </c>
      <c r="L38" s="346" t="s">
        <v>1864</v>
      </c>
      <c r="M38" s="346" t="s">
        <v>1868</v>
      </c>
      <c r="N38" s="440">
        <v>0</v>
      </c>
      <c r="O38" s="440">
        <v>0</v>
      </c>
      <c r="P38" s="440">
        <v>0</v>
      </c>
      <c r="Q38" s="440">
        <v>-1163.0899999999999</v>
      </c>
      <c r="R38" s="440">
        <v>-63.5</v>
      </c>
      <c r="S38" s="440">
        <v>0</v>
      </c>
      <c r="T38" s="440">
        <v>-1226.5899999999999</v>
      </c>
      <c r="U38" s="440">
        <v>0</v>
      </c>
      <c r="V38" s="440">
        <v>0</v>
      </c>
      <c r="W38" s="440">
        <v>-63.5</v>
      </c>
      <c r="X38" s="440">
        <v>0</v>
      </c>
      <c r="Y38" s="440">
        <v>0</v>
      </c>
      <c r="Z38" s="440">
        <v>0</v>
      </c>
      <c r="AA38" s="440">
        <v>0</v>
      </c>
      <c r="AB38" s="440">
        <v>0</v>
      </c>
      <c r="AC38" s="440">
        <v>0</v>
      </c>
      <c r="AD38" s="440">
        <v>0</v>
      </c>
      <c r="AE38" s="440">
        <v>0</v>
      </c>
      <c r="AF38" s="440">
        <v>-63.5</v>
      </c>
      <c r="AH38" s="269"/>
    </row>
    <row r="39" spans="1:34">
      <c r="A39" s="346" t="s">
        <v>1777</v>
      </c>
      <c r="B39" s="346">
        <v>31</v>
      </c>
      <c r="C39" s="346"/>
      <c r="D39" s="346"/>
      <c r="E39" s="346"/>
      <c r="F39" s="346"/>
      <c r="G39" s="346" t="s">
        <v>1896</v>
      </c>
      <c r="H39" s="346" t="s">
        <v>1856</v>
      </c>
      <c r="I39" s="346" t="s">
        <v>1856</v>
      </c>
      <c r="J39" s="346" t="s">
        <v>1851</v>
      </c>
      <c r="K39" s="346" t="s">
        <v>1852</v>
      </c>
      <c r="L39" s="346" t="s">
        <v>1891</v>
      </c>
      <c r="M39" s="346" t="s">
        <v>1858</v>
      </c>
      <c r="N39" s="440">
        <v>0</v>
      </c>
      <c r="O39" s="440">
        <v>0</v>
      </c>
      <c r="P39" s="440">
        <v>0</v>
      </c>
      <c r="Q39" s="440">
        <v>0</v>
      </c>
      <c r="R39" s="440">
        <v>0</v>
      </c>
      <c r="S39" s="440">
        <v>0</v>
      </c>
      <c r="T39" s="440">
        <v>0</v>
      </c>
      <c r="U39" s="440">
        <v>0</v>
      </c>
      <c r="V39" s="440">
        <v>0</v>
      </c>
      <c r="W39" s="440">
        <v>0</v>
      </c>
      <c r="X39" s="440">
        <v>252.9</v>
      </c>
      <c r="Y39" s="440">
        <v>0</v>
      </c>
      <c r="Z39" s="440">
        <v>28777.279999999999</v>
      </c>
      <c r="AA39" s="440">
        <v>0</v>
      </c>
      <c r="AB39" s="440">
        <v>0</v>
      </c>
      <c r="AC39" s="440">
        <v>0</v>
      </c>
      <c r="AD39" s="440">
        <v>0</v>
      </c>
      <c r="AE39" s="440">
        <v>0</v>
      </c>
      <c r="AF39" s="440">
        <v>29030.18</v>
      </c>
      <c r="AH39" s="269"/>
    </row>
    <row r="40" spans="1:34">
      <c r="A40" s="346" t="s">
        <v>1777</v>
      </c>
      <c r="B40" s="346">
        <v>32</v>
      </c>
      <c r="C40" s="346"/>
      <c r="D40" s="346"/>
      <c r="E40" s="346"/>
      <c r="F40" s="346"/>
      <c r="G40" s="346" t="s">
        <v>1897</v>
      </c>
      <c r="H40" s="346" t="s">
        <v>1856</v>
      </c>
      <c r="I40" s="346" t="s">
        <v>1861</v>
      </c>
      <c r="J40" s="346" t="s">
        <v>1851</v>
      </c>
      <c r="K40" s="346" t="s">
        <v>1852</v>
      </c>
      <c r="L40" s="346" t="s">
        <v>1891</v>
      </c>
      <c r="M40" s="346" t="s">
        <v>1864</v>
      </c>
      <c r="N40" s="440">
        <v>0</v>
      </c>
      <c r="O40" s="440">
        <v>6358</v>
      </c>
      <c r="P40" s="440">
        <v>6358</v>
      </c>
      <c r="Q40" s="440">
        <v>122802.71</v>
      </c>
      <c r="R40" s="440">
        <v>138043.86000000002</v>
      </c>
      <c r="S40" s="440">
        <v>0</v>
      </c>
      <c r="T40" s="440">
        <v>260846.57</v>
      </c>
      <c r="U40" s="440">
        <v>0</v>
      </c>
      <c r="V40" s="440">
        <v>0</v>
      </c>
      <c r="W40" s="440">
        <v>138043.86000000002</v>
      </c>
      <c r="X40" s="440">
        <v>0</v>
      </c>
      <c r="Y40" s="440">
        <v>0</v>
      </c>
      <c r="Z40" s="440">
        <v>0</v>
      </c>
      <c r="AA40" s="440">
        <v>0</v>
      </c>
      <c r="AB40" s="440">
        <v>0</v>
      </c>
      <c r="AC40" s="440">
        <v>0</v>
      </c>
      <c r="AD40" s="440">
        <v>0</v>
      </c>
      <c r="AE40" s="440">
        <v>0</v>
      </c>
      <c r="AF40" s="440">
        <v>138043.86000000002</v>
      </c>
      <c r="AH40" s="269"/>
    </row>
    <row r="41" spans="1:34">
      <c r="A41" s="346" t="s">
        <v>1777</v>
      </c>
      <c r="B41" s="346">
        <v>33</v>
      </c>
      <c r="C41" s="346"/>
      <c r="D41" s="346"/>
      <c r="E41" s="346"/>
      <c r="F41" s="346"/>
      <c r="G41" s="346" t="s">
        <v>1897</v>
      </c>
      <c r="H41" s="346" t="s">
        <v>1856</v>
      </c>
      <c r="I41" s="346" t="s">
        <v>1861</v>
      </c>
      <c r="J41" s="346" t="s">
        <v>1851</v>
      </c>
      <c r="K41" s="346" t="s">
        <v>1852</v>
      </c>
      <c r="L41" s="346" t="s">
        <v>1874</v>
      </c>
      <c r="M41" s="346" t="s">
        <v>1864</v>
      </c>
      <c r="N41" s="440">
        <v>0</v>
      </c>
      <c r="O41" s="440">
        <v>30652</v>
      </c>
      <c r="P41" s="440">
        <v>30652</v>
      </c>
      <c r="Q41" s="440">
        <v>268432.88</v>
      </c>
      <c r="R41" s="440">
        <v>184065.52000000002</v>
      </c>
      <c r="S41" s="440">
        <v>0</v>
      </c>
      <c r="T41" s="440">
        <v>452498.4</v>
      </c>
      <c r="U41" s="440">
        <v>0</v>
      </c>
      <c r="V41" s="440">
        <v>0</v>
      </c>
      <c r="W41" s="440">
        <v>184065.52000000002</v>
      </c>
      <c r="X41" s="440">
        <v>2146.4899999999998</v>
      </c>
      <c r="Y41" s="440">
        <v>0</v>
      </c>
      <c r="Z41" s="440">
        <v>0</v>
      </c>
      <c r="AA41" s="440">
        <v>389089.09999999992</v>
      </c>
      <c r="AB41" s="440">
        <v>0</v>
      </c>
      <c r="AC41" s="440">
        <v>0</v>
      </c>
      <c r="AD41" s="440">
        <v>0</v>
      </c>
      <c r="AE41" s="440">
        <v>0</v>
      </c>
      <c r="AF41" s="440">
        <v>575301.10999999987</v>
      </c>
      <c r="AH41" s="269"/>
    </row>
    <row r="42" spans="1:34">
      <c r="A42" s="346" t="s">
        <v>1777</v>
      </c>
      <c r="B42" s="346">
        <v>34</v>
      </c>
      <c r="C42" s="346"/>
      <c r="D42" s="346"/>
      <c r="E42" s="346"/>
      <c r="F42" s="346"/>
      <c r="G42" s="346" t="s">
        <v>1897</v>
      </c>
      <c r="H42" s="346" t="s">
        <v>1849</v>
      </c>
      <c r="I42" s="346" t="s">
        <v>1861</v>
      </c>
      <c r="J42" s="346" t="s">
        <v>1851</v>
      </c>
      <c r="K42" s="346" t="s">
        <v>1852</v>
      </c>
      <c r="L42" s="346" t="s">
        <v>1889</v>
      </c>
      <c r="M42" s="346" t="s">
        <v>1864</v>
      </c>
      <c r="N42" s="440">
        <v>0</v>
      </c>
      <c r="O42" s="440">
        <v>88</v>
      </c>
      <c r="P42" s="440">
        <v>88</v>
      </c>
      <c r="Q42" s="440">
        <v>798.78</v>
      </c>
      <c r="R42" s="440">
        <v>0</v>
      </c>
      <c r="S42" s="440">
        <v>0</v>
      </c>
      <c r="T42" s="440">
        <v>798.78</v>
      </c>
      <c r="U42" s="440">
        <v>0</v>
      </c>
      <c r="V42" s="440">
        <v>0</v>
      </c>
      <c r="W42" s="440">
        <v>0</v>
      </c>
      <c r="X42" s="440">
        <v>4.1399999999999997</v>
      </c>
      <c r="Y42" s="440">
        <v>0</v>
      </c>
      <c r="Z42" s="440">
        <v>0</v>
      </c>
      <c r="AA42" s="440">
        <v>794.64</v>
      </c>
      <c r="AB42" s="440">
        <v>0</v>
      </c>
      <c r="AC42" s="440">
        <v>0</v>
      </c>
      <c r="AD42" s="440">
        <v>0</v>
      </c>
      <c r="AE42" s="440">
        <v>0</v>
      </c>
      <c r="AF42" s="440">
        <v>798.78</v>
      </c>
      <c r="AH42" s="269"/>
    </row>
    <row r="43" spans="1:34">
      <c r="A43" s="346" t="s">
        <v>1777</v>
      </c>
      <c r="B43" s="346">
        <v>35</v>
      </c>
      <c r="C43" s="346"/>
      <c r="D43" s="346"/>
      <c r="E43" s="346"/>
      <c r="F43" s="346"/>
      <c r="G43" s="346" t="s">
        <v>1897</v>
      </c>
      <c r="H43" s="346" t="s">
        <v>1856</v>
      </c>
      <c r="I43" s="346" t="s">
        <v>1849</v>
      </c>
      <c r="J43" s="346" t="s">
        <v>1851</v>
      </c>
      <c r="K43" s="346" t="s">
        <v>1852</v>
      </c>
      <c r="L43" s="346" t="s">
        <v>1874</v>
      </c>
      <c r="M43" s="346" t="s">
        <v>1889</v>
      </c>
      <c r="N43" s="440">
        <v>0</v>
      </c>
      <c r="O43" s="440">
        <v>0</v>
      </c>
      <c r="P43" s="440">
        <v>0</v>
      </c>
      <c r="Q43" s="440">
        <v>807.84999999999991</v>
      </c>
      <c r="R43" s="440">
        <v>0</v>
      </c>
      <c r="S43" s="440">
        <v>0</v>
      </c>
      <c r="T43" s="440">
        <v>807.84999999999991</v>
      </c>
      <c r="U43" s="440">
        <v>0</v>
      </c>
      <c r="V43" s="440">
        <v>0</v>
      </c>
      <c r="W43" s="440">
        <v>0</v>
      </c>
      <c r="X43" s="440">
        <v>4.18</v>
      </c>
      <c r="Y43" s="440">
        <v>0</v>
      </c>
      <c r="Z43" s="440">
        <v>0</v>
      </c>
      <c r="AA43" s="440">
        <v>803.67</v>
      </c>
      <c r="AB43" s="440">
        <v>0</v>
      </c>
      <c r="AC43" s="440">
        <v>0</v>
      </c>
      <c r="AD43" s="440">
        <v>0</v>
      </c>
      <c r="AE43" s="440">
        <v>0</v>
      </c>
      <c r="AF43" s="440">
        <v>807.84999999999991</v>
      </c>
      <c r="AH43" s="269"/>
    </row>
    <row r="44" spans="1:34">
      <c r="A44" s="346" t="s">
        <v>1777</v>
      </c>
      <c r="B44" s="346">
        <v>36</v>
      </c>
      <c r="C44" s="346"/>
      <c r="D44" s="346"/>
      <c r="E44" s="346"/>
      <c r="F44" s="346"/>
      <c r="G44" s="346" t="s">
        <v>1897</v>
      </c>
      <c r="H44" s="346" t="s">
        <v>1856</v>
      </c>
      <c r="I44" s="346" t="s">
        <v>1856</v>
      </c>
      <c r="J44" s="346" t="s">
        <v>1851</v>
      </c>
      <c r="K44" s="346" t="s">
        <v>1852</v>
      </c>
      <c r="L44" s="346" t="s">
        <v>1874</v>
      </c>
      <c r="M44" s="346" t="s">
        <v>1858</v>
      </c>
      <c r="N44" s="440">
        <v>0</v>
      </c>
      <c r="O44" s="440">
        <v>2667</v>
      </c>
      <c r="P44" s="440">
        <v>2667</v>
      </c>
      <c r="Q44" s="440">
        <v>42271.59</v>
      </c>
      <c r="R44" s="440">
        <v>0</v>
      </c>
      <c r="S44" s="440">
        <v>0</v>
      </c>
      <c r="T44" s="440">
        <v>42271.59</v>
      </c>
      <c r="U44" s="440">
        <v>0</v>
      </c>
      <c r="V44" s="440">
        <v>0</v>
      </c>
      <c r="W44" s="440">
        <v>0</v>
      </c>
      <c r="X44" s="440">
        <v>218.88</v>
      </c>
      <c r="Y44" s="440">
        <v>0</v>
      </c>
      <c r="Z44" s="440">
        <v>0</v>
      </c>
      <c r="AA44" s="440">
        <v>42052.71</v>
      </c>
      <c r="AB44" s="440">
        <v>0</v>
      </c>
      <c r="AC44" s="440">
        <v>0</v>
      </c>
      <c r="AD44" s="440">
        <v>0</v>
      </c>
      <c r="AE44" s="440">
        <v>0</v>
      </c>
      <c r="AF44" s="440">
        <v>42271.59</v>
      </c>
      <c r="AH44" s="269"/>
    </row>
    <row r="45" spans="1:34">
      <c r="A45" s="346" t="s">
        <v>1777</v>
      </c>
      <c r="B45" s="346">
        <v>37</v>
      </c>
      <c r="C45" s="346"/>
      <c r="D45" s="346"/>
      <c r="E45" s="346"/>
      <c r="F45" s="346"/>
      <c r="G45" s="346" t="s">
        <v>1898</v>
      </c>
      <c r="H45" s="346" t="s">
        <v>1861</v>
      </c>
      <c r="I45" s="346" t="s">
        <v>1850</v>
      </c>
      <c r="J45" s="346" t="s">
        <v>1857</v>
      </c>
      <c r="K45" s="346" t="s">
        <v>1852</v>
      </c>
      <c r="L45" s="346" t="s">
        <v>1864</v>
      </c>
      <c r="M45" s="346" t="s">
        <v>1868</v>
      </c>
      <c r="N45" s="440">
        <v>0</v>
      </c>
      <c r="O45" s="440">
        <v>0</v>
      </c>
      <c r="P45" s="440">
        <v>0</v>
      </c>
      <c r="Q45" s="440">
        <v>29030.18</v>
      </c>
      <c r="R45" s="440">
        <v>0</v>
      </c>
      <c r="S45" s="440">
        <v>0</v>
      </c>
      <c r="T45" s="440">
        <v>29030.18</v>
      </c>
      <c r="U45" s="440">
        <v>0</v>
      </c>
      <c r="V45" s="440">
        <v>0</v>
      </c>
      <c r="W45" s="440">
        <v>0</v>
      </c>
      <c r="X45" s="440">
        <v>5.36</v>
      </c>
      <c r="Y45" s="440">
        <v>0</v>
      </c>
      <c r="Z45" s="440">
        <v>1029.42</v>
      </c>
      <c r="AA45" s="440">
        <v>0</v>
      </c>
      <c r="AB45" s="440">
        <v>0</v>
      </c>
      <c r="AC45" s="440">
        <v>0</v>
      </c>
      <c r="AD45" s="440">
        <v>0</v>
      </c>
      <c r="AE45" s="440">
        <v>0</v>
      </c>
      <c r="AF45" s="440">
        <v>1034.78</v>
      </c>
      <c r="AH45" s="269"/>
    </row>
    <row r="46" spans="1:34">
      <c r="A46" s="346" t="s">
        <v>1777</v>
      </c>
      <c r="B46" s="346">
        <v>38</v>
      </c>
      <c r="C46" s="346"/>
      <c r="D46" s="346"/>
      <c r="E46" s="346"/>
      <c r="F46" s="346"/>
      <c r="G46" s="346" t="s">
        <v>1899</v>
      </c>
      <c r="H46" s="346" t="s">
        <v>1856</v>
      </c>
      <c r="I46" s="346" t="s">
        <v>1861</v>
      </c>
      <c r="J46" s="346" t="s">
        <v>1862</v>
      </c>
      <c r="K46" s="346" t="s">
        <v>1852</v>
      </c>
      <c r="L46" s="346" t="s">
        <v>1891</v>
      </c>
      <c r="M46" s="346" t="s">
        <v>1864</v>
      </c>
      <c r="N46" s="440">
        <v>63</v>
      </c>
      <c r="O46" s="440">
        <v>264026</v>
      </c>
      <c r="P46" s="440">
        <v>264026</v>
      </c>
      <c r="Q46" s="440">
        <v>2602478</v>
      </c>
      <c r="R46" s="440">
        <v>0</v>
      </c>
      <c r="S46" s="440">
        <v>0</v>
      </c>
      <c r="T46" s="440">
        <v>2602478</v>
      </c>
      <c r="U46" s="440">
        <v>2577960.5</v>
      </c>
      <c r="V46" s="440">
        <v>0</v>
      </c>
      <c r="W46" s="440">
        <v>0</v>
      </c>
      <c r="X46" s="440">
        <v>24517.5</v>
      </c>
      <c r="Y46" s="440">
        <v>0</v>
      </c>
      <c r="Z46" s="440">
        <v>0</v>
      </c>
      <c r="AA46" s="440">
        <v>0</v>
      </c>
      <c r="AB46" s="440">
        <v>0</v>
      </c>
      <c r="AC46" s="440">
        <v>0</v>
      </c>
      <c r="AD46" s="440">
        <v>0</v>
      </c>
      <c r="AE46" s="440">
        <v>0</v>
      </c>
      <c r="AF46" s="440">
        <v>2602478</v>
      </c>
      <c r="AH46" s="269"/>
    </row>
    <row r="47" spans="1:34">
      <c r="A47" s="346" t="s">
        <v>1777</v>
      </c>
      <c r="B47" s="346">
        <v>39</v>
      </c>
      <c r="C47" s="346"/>
      <c r="D47" s="346"/>
      <c r="E47" s="346"/>
      <c r="F47" s="346"/>
      <c r="G47" s="346" t="s">
        <v>1900</v>
      </c>
      <c r="H47" s="346" t="s">
        <v>1856</v>
      </c>
      <c r="I47" s="346" t="s">
        <v>1850</v>
      </c>
      <c r="J47" s="346" t="s">
        <v>1851</v>
      </c>
      <c r="K47" s="346" t="s">
        <v>1852</v>
      </c>
      <c r="L47" s="346" t="s">
        <v>1901</v>
      </c>
      <c r="M47" s="346" t="s">
        <v>1868</v>
      </c>
      <c r="N47" s="440">
        <v>0</v>
      </c>
      <c r="O47" s="440">
        <v>828</v>
      </c>
      <c r="P47" s="440">
        <v>828</v>
      </c>
      <c r="Q47" s="440">
        <v>26308.6</v>
      </c>
      <c r="R47" s="440">
        <v>0</v>
      </c>
      <c r="S47" s="440">
        <v>0</v>
      </c>
      <c r="T47" s="440">
        <v>26308.6</v>
      </c>
      <c r="U47" s="440">
        <v>0</v>
      </c>
      <c r="V47" s="440">
        <v>0</v>
      </c>
      <c r="W47" s="440">
        <v>0</v>
      </c>
      <c r="X47" s="440">
        <v>229.19</v>
      </c>
      <c r="Y47" s="440">
        <v>0</v>
      </c>
      <c r="Z47" s="440">
        <v>0</v>
      </c>
      <c r="AA47" s="440">
        <v>26079.41</v>
      </c>
      <c r="AB47" s="440">
        <v>0</v>
      </c>
      <c r="AC47" s="440">
        <v>0</v>
      </c>
      <c r="AD47" s="440">
        <v>0</v>
      </c>
      <c r="AE47" s="440">
        <v>0</v>
      </c>
      <c r="AF47" s="440">
        <v>26308.6</v>
      </c>
      <c r="AH47" s="269"/>
    </row>
    <row r="48" spans="1:34">
      <c r="A48" s="346" t="s">
        <v>1777</v>
      </c>
      <c r="B48" s="346">
        <v>40</v>
      </c>
      <c r="C48" s="346"/>
      <c r="D48" s="346"/>
      <c r="E48" s="346"/>
      <c r="F48" s="346"/>
      <c r="G48" s="346" t="s">
        <v>1900</v>
      </c>
      <c r="H48" s="346" t="s">
        <v>1849</v>
      </c>
      <c r="I48" s="346" t="s">
        <v>1849</v>
      </c>
      <c r="J48" s="346" t="s">
        <v>1851</v>
      </c>
      <c r="K48" s="346" t="s">
        <v>1852</v>
      </c>
      <c r="L48" s="346" t="s">
        <v>1902</v>
      </c>
      <c r="M48" s="346" t="s">
        <v>1859</v>
      </c>
      <c r="N48" s="440">
        <v>0</v>
      </c>
      <c r="O48" s="440">
        <v>0</v>
      </c>
      <c r="P48" s="440">
        <v>0</v>
      </c>
      <c r="Q48" s="440">
        <v>1633.86</v>
      </c>
      <c r="R48" s="440">
        <v>0</v>
      </c>
      <c r="S48" s="440">
        <v>0</v>
      </c>
      <c r="T48" s="440">
        <v>1633.86</v>
      </c>
      <c r="U48" s="440">
        <v>0</v>
      </c>
      <c r="V48" s="440">
        <v>0</v>
      </c>
      <c r="W48" s="440">
        <v>0</v>
      </c>
      <c r="X48" s="440">
        <v>8.4600000000000009</v>
      </c>
      <c r="Y48" s="440">
        <v>0</v>
      </c>
      <c r="Z48" s="440">
        <v>0</v>
      </c>
      <c r="AA48" s="440">
        <v>1625.4</v>
      </c>
      <c r="AB48" s="440">
        <v>0</v>
      </c>
      <c r="AC48" s="440">
        <v>0</v>
      </c>
      <c r="AD48" s="440">
        <v>0</v>
      </c>
      <c r="AE48" s="440">
        <v>0</v>
      </c>
      <c r="AF48" s="440">
        <v>1633.8600000000001</v>
      </c>
      <c r="AH48" s="269"/>
    </row>
    <row r="49" spans="1:34">
      <c r="A49" s="346" t="s">
        <v>1777</v>
      </c>
      <c r="B49" s="346">
        <v>41</v>
      </c>
      <c r="C49" s="346"/>
      <c r="D49" s="346"/>
      <c r="E49" s="346"/>
      <c r="F49" s="346"/>
      <c r="G49" s="346" t="s">
        <v>1900</v>
      </c>
      <c r="H49" s="346" t="s">
        <v>1849</v>
      </c>
      <c r="I49" s="346" t="s">
        <v>1850</v>
      </c>
      <c r="J49" s="346" t="s">
        <v>1851</v>
      </c>
      <c r="K49" s="346" t="s">
        <v>1852</v>
      </c>
      <c r="L49" s="346" t="s">
        <v>1853</v>
      </c>
      <c r="M49" s="346" t="s">
        <v>1854</v>
      </c>
      <c r="N49" s="440">
        <v>0</v>
      </c>
      <c r="O49" s="440">
        <v>0</v>
      </c>
      <c r="P49" s="440">
        <v>0</v>
      </c>
      <c r="Q49" s="440">
        <v>998.47</v>
      </c>
      <c r="R49" s="440">
        <v>0</v>
      </c>
      <c r="S49" s="440">
        <v>0</v>
      </c>
      <c r="T49" s="440">
        <v>998.47</v>
      </c>
      <c r="U49" s="440">
        <v>0</v>
      </c>
      <c r="V49" s="440">
        <v>0</v>
      </c>
      <c r="W49" s="440">
        <v>0</v>
      </c>
      <c r="X49" s="440">
        <v>5.17</v>
      </c>
      <c r="Y49" s="440">
        <v>0</v>
      </c>
      <c r="Z49" s="440">
        <v>0</v>
      </c>
      <c r="AA49" s="440">
        <v>993.3</v>
      </c>
      <c r="AB49" s="440">
        <v>0</v>
      </c>
      <c r="AC49" s="440">
        <v>0</v>
      </c>
      <c r="AD49" s="440">
        <v>0</v>
      </c>
      <c r="AE49" s="440">
        <v>0</v>
      </c>
      <c r="AF49" s="440">
        <v>998.46999999999991</v>
      </c>
      <c r="AH49" s="269"/>
    </row>
    <row r="50" spans="1:34">
      <c r="A50" s="346" t="s">
        <v>1777</v>
      </c>
      <c r="B50" s="346">
        <v>42</v>
      </c>
      <c r="C50" s="346"/>
      <c r="D50" s="346"/>
      <c r="E50" s="346"/>
      <c r="F50" s="346"/>
      <c r="G50" s="346" t="s">
        <v>1900</v>
      </c>
      <c r="H50" s="346" t="s">
        <v>1856</v>
      </c>
      <c r="I50" s="346" t="s">
        <v>1850</v>
      </c>
      <c r="J50" s="346" t="s">
        <v>1851</v>
      </c>
      <c r="K50" s="346" t="s">
        <v>1852</v>
      </c>
      <c r="L50" s="346" t="s">
        <v>1858</v>
      </c>
      <c r="M50" s="346" t="s">
        <v>1868</v>
      </c>
      <c r="N50" s="440">
        <v>0</v>
      </c>
      <c r="O50" s="440">
        <v>4</v>
      </c>
      <c r="P50" s="440">
        <v>4</v>
      </c>
      <c r="Q50" s="440">
        <v>323.08</v>
      </c>
      <c r="R50" s="440">
        <v>0</v>
      </c>
      <c r="S50" s="440">
        <v>0</v>
      </c>
      <c r="T50" s="440">
        <v>323.08</v>
      </c>
      <c r="U50" s="440">
        <v>0</v>
      </c>
      <c r="V50" s="440">
        <v>0</v>
      </c>
      <c r="W50" s="440">
        <v>0</v>
      </c>
      <c r="X50" s="440">
        <v>1.88</v>
      </c>
      <c r="Y50" s="440">
        <v>0</v>
      </c>
      <c r="Z50" s="440">
        <v>0</v>
      </c>
      <c r="AA50" s="440">
        <v>321.2</v>
      </c>
      <c r="AB50" s="440">
        <v>0</v>
      </c>
      <c r="AC50" s="440">
        <v>0</v>
      </c>
      <c r="AD50" s="440">
        <v>0</v>
      </c>
      <c r="AE50" s="440">
        <v>0</v>
      </c>
      <c r="AF50" s="440">
        <v>323.08</v>
      </c>
      <c r="AH50" s="269"/>
    </row>
    <row r="51" spans="1:34">
      <c r="A51" s="346" t="s">
        <v>1777</v>
      </c>
      <c r="B51" s="346">
        <v>43</v>
      </c>
      <c r="C51" s="346"/>
      <c r="D51" s="346"/>
      <c r="E51" s="346"/>
      <c r="F51" s="346"/>
      <c r="G51" s="346" t="s">
        <v>1900</v>
      </c>
      <c r="H51" s="346" t="s">
        <v>1850</v>
      </c>
      <c r="I51" s="346" t="s">
        <v>1861</v>
      </c>
      <c r="J51" s="346" t="s">
        <v>1851</v>
      </c>
      <c r="K51" s="346" t="s">
        <v>1852</v>
      </c>
      <c r="L51" s="346" t="s">
        <v>1868</v>
      </c>
      <c r="M51" s="346" t="s">
        <v>1864</v>
      </c>
      <c r="N51" s="440">
        <v>0</v>
      </c>
      <c r="O51" s="440">
        <v>96</v>
      </c>
      <c r="P51" s="440">
        <v>96</v>
      </c>
      <c r="Q51" s="440">
        <v>1300.4000000000001</v>
      </c>
      <c r="R51" s="440">
        <v>0</v>
      </c>
      <c r="S51" s="440">
        <v>0</v>
      </c>
      <c r="T51" s="440">
        <v>1300.4000000000001</v>
      </c>
      <c r="U51" s="440">
        <v>0</v>
      </c>
      <c r="V51" s="440">
        <v>0</v>
      </c>
      <c r="W51" s="440">
        <v>0</v>
      </c>
      <c r="X51" s="440">
        <v>7.57</v>
      </c>
      <c r="Y51" s="440">
        <v>0</v>
      </c>
      <c r="Z51" s="440">
        <v>0</v>
      </c>
      <c r="AA51" s="440">
        <v>1292.83</v>
      </c>
      <c r="AB51" s="440">
        <v>0</v>
      </c>
      <c r="AC51" s="440">
        <v>0</v>
      </c>
      <c r="AD51" s="440">
        <v>0</v>
      </c>
      <c r="AE51" s="440">
        <v>0</v>
      </c>
      <c r="AF51" s="440">
        <v>1300.3999999999999</v>
      </c>
      <c r="AH51" s="269"/>
    </row>
    <row r="52" spans="1:34">
      <c r="A52" s="346" t="s">
        <v>1777</v>
      </c>
      <c r="B52" s="346">
        <v>44</v>
      </c>
      <c r="C52" s="346"/>
      <c r="D52" s="346"/>
      <c r="E52" s="346"/>
      <c r="F52" s="346"/>
      <c r="G52" s="346" t="s">
        <v>1900</v>
      </c>
      <c r="H52" s="346" t="s">
        <v>1850</v>
      </c>
      <c r="I52" s="346" t="s">
        <v>1856</v>
      </c>
      <c r="J52" s="346" t="s">
        <v>1851</v>
      </c>
      <c r="K52" s="346" t="s">
        <v>1852</v>
      </c>
      <c r="L52" s="346" t="s">
        <v>1868</v>
      </c>
      <c r="M52" s="346" t="s">
        <v>1858</v>
      </c>
      <c r="N52" s="440">
        <v>0</v>
      </c>
      <c r="O52" s="440">
        <v>24</v>
      </c>
      <c r="P52" s="440">
        <v>24</v>
      </c>
      <c r="Q52" s="440">
        <v>630.01</v>
      </c>
      <c r="R52" s="440">
        <v>0</v>
      </c>
      <c r="S52" s="440">
        <v>0</v>
      </c>
      <c r="T52" s="440">
        <v>630.01</v>
      </c>
      <c r="U52" s="440">
        <v>0</v>
      </c>
      <c r="V52" s="440">
        <v>0</v>
      </c>
      <c r="W52" s="440">
        <v>0</v>
      </c>
      <c r="X52" s="440">
        <v>3.67</v>
      </c>
      <c r="Y52" s="440">
        <v>0</v>
      </c>
      <c r="Z52" s="440">
        <v>0</v>
      </c>
      <c r="AA52" s="440">
        <v>626.34</v>
      </c>
      <c r="AB52" s="440">
        <v>0</v>
      </c>
      <c r="AC52" s="440">
        <v>0</v>
      </c>
      <c r="AD52" s="440">
        <v>0</v>
      </c>
      <c r="AE52" s="440">
        <v>0</v>
      </c>
      <c r="AF52" s="440">
        <v>630.01</v>
      </c>
      <c r="AH52" s="269"/>
    </row>
    <row r="53" spans="1:34">
      <c r="A53" s="346" t="s">
        <v>1777</v>
      </c>
      <c r="B53" s="346">
        <v>45</v>
      </c>
      <c r="C53" s="346"/>
      <c r="D53" s="346"/>
      <c r="E53" s="346"/>
      <c r="F53" s="346"/>
      <c r="G53" s="346" t="s">
        <v>1900</v>
      </c>
      <c r="H53" s="346" t="s">
        <v>1865</v>
      </c>
      <c r="I53" s="346" t="s">
        <v>1849</v>
      </c>
      <c r="J53" s="346" t="s">
        <v>1851</v>
      </c>
      <c r="K53" s="346" t="s">
        <v>1852</v>
      </c>
      <c r="L53" s="346" t="s">
        <v>1866</v>
      </c>
      <c r="M53" s="346" t="s">
        <v>1902</v>
      </c>
      <c r="N53" s="440">
        <v>0</v>
      </c>
      <c r="O53" s="440">
        <v>0</v>
      </c>
      <c r="P53" s="440">
        <v>0</v>
      </c>
      <c r="Q53" s="440">
        <v>1633.86</v>
      </c>
      <c r="R53" s="440">
        <v>0</v>
      </c>
      <c r="S53" s="440">
        <v>0</v>
      </c>
      <c r="T53" s="440">
        <v>1633.86</v>
      </c>
      <c r="U53" s="440">
        <v>0</v>
      </c>
      <c r="V53" s="440">
        <v>0</v>
      </c>
      <c r="W53" s="440">
        <v>0</v>
      </c>
      <c r="X53" s="440">
        <v>8.4600000000000009</v>
      </c>
      <c r="Y53" s="440">
        <v>0</v>
      </c>
      <c r="Z53" s="440">
        <v>0</v>
      </c>
      <c r="AA53" s="440">
        <v>1625.4</v>
      </c>
      <c r="AB53" s="440">
        <v>0</v>
      </c>
      <c r="AC53" s="440">
        <v>0</v>
      </c>
      <c r="AD53" s="440">
        <v>0</v>
      </c>
      <c r="AE53" s="440">
        <v>0</v>
      </c>
      <c r="AF53" s="440">
        <v>1633.8600000000001</v>
      </c>
      <c r="AH53" s="269"/>
    </row>
    <row r="54" spans="1:34">
      <c r="A54" s="346" t="s">
        <v>1777</v>
      </c>
      <c r="B54" s="346">
        <v>46</v>
      </c>
      <c r="C54" s="346"/>
      <c r="D54" s="346"/>
      <c r="E54" s="346"/>
      <c r="F54" s="346"/>
      <c r="G54" s="346" t="s">
        <v>1900</v>
      </c>
      <c r="H54" s="346" t="s">
        <v>1850</v>
      </c>
      <c r="I54" s="346" t="s">
        <v>1849</v>
      </c>
      <c r="J54" s="346" t="s">
        <v>1851</v>
      </c>
      <c r="K54" s="346" t="s">
        <v>1852</v>
      </c>
      <c r="L54" s="346" t="s">
        <v>1854</v>
      </c>
      <c r="M54" s="346" t="s">
        <v>1853</v>
      </c>
      <c r="N54" s="440">
        <v>0</v>
      </c>
      <c r="O54" s="440">
        <v>276</v>
      </c>
      <c r="P54" s="440">
        <v>276</v>
      </c>
      <c r="Q54" s="440">
        <v>166584</v>
      </c>
      <c r="R54" s="440">
        <v>0</v>
      </c>
      <c r="S54" s="440">
        <v>0</v>
      </c>
      <c r="T54" s="440">
        <v>166584</v>
      </c>
      <c r="U54" s="440">
        <v>0</v>
      </c>
      <c r="V54" s="440">
        <v>0</v>
      </c>
      <c r="W54" s="440">
        <v>0</v>
      </c>
      <c r="X54" s="440">
        <v>1320</v>
      </c>
      <c r="Y54" s="440">
        <v>0</v>
      </c>
      <c r="Z54" s="440">
        <v>0</v>
      </c>
      <c r="AA54" s="440">
        <v>165264</v>
      </c>
      <c r="AB54" s="440">
        <v>0</v>
      </c>
      <c r="AC54" s="440">
        <v>0</v>
      </c>
      <c r="AD54" s="440">
        <v>0</v>
      </c>
      <c r="AE54" s="440">
        <v>0</v>
      </c>
      <c r="AF54" s="440">
        <v>166584</v>
      </c>
      <c r="AH54" s="269"/>
    </row>
    <row r="55" spans="1:34">
      <c r="A55" s="346" t="s">
        <v>1777</v>
      </c>
      <c r="B55" s="346">
        <v>47</v>
      </c>
      <c r="C55" s="346"/>
      <c r="D55" s="346"/>
      <c r="E55" s="346"/>
      <c r="F55" s="346"/>
      <c r="G55" s="346" t="s">
        <v>1900</v>
      </c>
      <c r="H55" s="346" t="s">
        <v>1865</v>
      </c>
      <c r="I55" s="346" t="s">
        <v>1861</v>
      </c>
      <c r="J55" s="346" t="s">
        <v>1851</v>
      </c>
      <c r="K55" s="346" t="s">
        <v>1852</v>
      </c>
      <c r="L55" s="346" t="s">
        <v>1866</v>
      </c>
      <c r="M55" s="346" t="s">
        <v>1864</v>
      </c>
      <c r="N55" s="440">
        <v>0</v>
      </c>
      <c r="O55" s="440">
        <v>0</v>
      </c>
      <c r="P55" s="440">
        <v>0</v>
      </c>
      <c r="Q55" s="440">
        <v>0</v>
      </c>
      <c r="R55" s="440">
        <v>0</v>
      </c>
      <c r="S55" s="440">
        <v>0</v>
      </c>
      <c r="T55" s="440">
        <v>0</v>
      </c>
      <c r="U55" s="440">
        <v>0</v>
      </c>
      <c r="V55" s="440">
        <v>0</v>
      </c>
      <c r="W55" s="440">
        <v>0</v>
      </c>
      <c r="X55" s="440">
        <v>0</v>
      </c>
      <c r="Y55" s="440">
        <v>0</v>
      </c>
      <c r="Z55" s="440">
        <v>0</v>
      </c>
      <c r="AA55" s="440">
        <v>0</v>
      </c>
      <c r="AB55" s="440">
        <v>0</v>
      </c>
      <c r="AC55" s="440">
        <v>0</v>
      </c>
      <c r="AD55" s="440">
        <v>0</v>
      </c>
      <c r="AE55" s="440">
        <v>0</v>
      </c>
      <c r="AF55" s="440">
        <v>0</v>
      </c>
      <c r="AH55" s="269"/>
    </row>
    <row r="56" spans="1:34">
      <c r="A56" s="346" t="s">
        <v>1777</v>
      </c>
      <c r="B56" s="346">
        <v>48</v>
      </c>
      <c r="C56" s="346"/>
      <c r="D56" s="346"/>
      <c r="E56" s="346"/>
      <c r="F56" s="346"/>
      <c r="G56" s="346" t="s">
        <v>1903</v>
      </c>
      <c r="H56" s="346" t="s">
        <v>1861</v>
      </c>
      <c r="I56" s="346" t="s">
        <v>1856</v>
      </c>
      <c r="J56" s="346" t="s">
        <v>1857</v>
      </c>
      <c r="K56" s="346" t="s">
        <v>1852</v>
      </c>
      <c r="L56" s="346" t="s">
        <v>1864</v>
      </c>
      <c r="M56" s="346" t="s">
        <v>1904</v>
      </c>
      <c r="N56" s="440">
        <v>0</v>
      </c>
      <c r="O56" s="440">
        <v>0</v>
      </c>
      <c r="P56" s="440">
        <v>0</v>
      </c>
      <c r="Q56" s="440">
        <v>34732.53</v>
      </c>
      <c r="R56" s="440">
        <v>0</v>
      </c>
      <c r="S56" s="440">
        <v>0</v>
      </c>
      <c r="T56" s="440">
        <v>34732.53</v>
      </c>
      <c r="U56" s="440">
        <v>0</v>
      </c>
      <c r="V56" s="440">
        <v>0</v>
      </c>
      <c r="W56" s="440">
        <v>0</v>
      </c>
      <c r="X56" s="440">
        <v>302.57</v>
      </c>
      <c r="Y56" s="440">
        <v>0</v>
      </c>
      <c r="Z56" s="440">
        <v>34429.96</v>
      </c>
      <c r="AA56" s="440">
        <v>0</v>
      </c>
      <c r="AB56" s="440">
        <v>0</v>
      </c>
      <c r="AC56" s="440">
        <v>0</v>
      </c>
      <c r="AD56" s="440">
        <v>0</v>
      </c>
      <c r="AE56" s="440">
        <v>0</v>
      </c>
      <c r="AF56" s="440">
        <v>34732.53</v>
      </c>
      <c r="AH56" s="269"/>
    </row>
    <row r="57" spans="1:34">
      <c r="A57" s="346" t="s">
        <v>1777</v>
      </c>
      <c r="B57" s="346">
        <v>49</v>
      </c>
      <c r="C57" s="346"/>
      <c r="D57" s="346"/>
      <c r="E57" s="346"/>
      <c r="F57" s="346"/>
      <c r="G57" s="346" t="s">
        <v>1903</v>
      </c>
      <c r="H57" s="346" t="s">
        <v>1861</v>
      </c>
      <c r="I57" s="346" t="s">
        <v>1850</v>
      </c>
      <c r="J57" s="346" t="s">
        <v>1857</v>
      </c>
      <c r="K57" s="346" t="s">
        <v>1852</v>
      </c>
      <c r="L57" s="346" t="s">
        <v>1864</v>
      </c>
      <c r="M57" s="346" t="s">
        <v>1868</v>
      </c>
      <c r="N57" s="440">
        <v>0</v>
      </c>
      <c r="O57" s="440">
        <v>2067</v>
      </c>
      <c r="P57" s="440">
        <v>2067</v>
      </c>
      <c r="Q57" s="440">
        <v>34803.800000000003</v>
      </c>
      <c r="R57" s="440">
        <v>-1330.81</v>
      </c>
      <c r="S57" s="440">
        <v>0</v>
      </c>
      <c r="T57" s="440">
        <v>33472.990000000005</v>
      </c>
      <c r="U57" s="440">
        <v>0</v>
      </c>
      <c r="V57" s="440">
        <v>0</v>
      </c>
      <c r="W57" s="440">
        <v>-1330.81</v>
      </c>
      <c r="X57" s="440">
        <v>202.53</v>
      </c>
      <c r="Y57" s="440">
        <v>0</v>
      </c>
      <c r="Z57" s="440">
        <v>34601.269999999997</v>
      </c>
      <c r="AA57" s="440">
        <v>0</v>
      </c>
      <c r="AB57" s="440">
        <v>0</v>
      </c>
      <c r="AC57" s="440">
        <v>0</v>
      </c>
      <c r="AD57" s="440">
        <v>0</v>
      </c>
      <c r="AE57" s="440">
        <v>0</v>
      </c>
      <c r="AF57" s="440">
        <v>33472.99</v>
      </c>
      <c r="AH57" s="269"/>
    </row>
    <row r="58" spans="1:34">
      <c r="A58" s="346" t="s">
        <v>1777</v>
      </c>
      <c r="B58" s="346">
        <v>50</v>
      </c>
      <c r="C58" s="346"/>
      <c r="D58" s="346"/>
      <c r="E58" s="346"/>
      <c r="F58" s="346"/>
      <c r="G58" s="346" t="s">
        <v>1903</v>
      </c>
      <c r="H58" s="346" t="s">
        <v>1856</v>
      </c>
      <c r="I58" s="346" t="s">
        <v>1856</v>
      </c>
      <c r="J58" s="346" t="s">
        <v>1857</v>
      </c>
      <c r="K58" s="346" t="s">
        <v>1852</v>
      </c>
      <c r="L58" s="346" t="s">
        <v>1858</v>
      </c>
      <c r="M58" s="346" t="s">
        <v>1901</v>
      </c>
      <c r="N58" s="440">
        <v>0</v>
      </c>
      <c r="O58" s="440">
        <v>902</v>
      </c>
      <c r="P58" s="440">
        <v>902</v>
      </c>
      <c r="Q58" s="440">
        <v>16718.27</v>
      </c>
      <c r="R58" s="440">
        <v>24433.63</v>
      </c>
      <c r="S58" s="440">
        <v>0</v>
      </c>
      <c r="T58" s="440">
        <v>41151.9</v>
      </c>
      <c r="U58" s="440">
        <v>0</v>
      </c>
      <c r="V58" s="440">
        <v>0</v>
      </c>
      <c r="W58" s="440">
        <v>24433.63</v>
      </c>
      <c r="X58" s="440">
        <v>145.63999999999999</v>
      </c>
      <c r="Y58" s="440">
        <v>0</v>
      </c>
      <c r="Z58" s="440">
        <v>16572.63</v>
      </c>
      <c r="AA58" s="440">
        <v>0</v>
      </c>
      <c r="AB58" s="440">
        <v>0</v>
      </c>
      <c r="AC58" s="440">
        <v>0</v>
      </c>
      <c r="AD58" s="440">
        <v>0</v>
      </c>
      <c r="AE58" s="440">
        <v>0</v>
      </c>
      <c r="AF58" s="440">
        <v>41151.9</v>
      </c>
      <c r="AH58" s="269"/>
    </row>
    <row r="59" spans="1:34">
      <c r="A59" s="346" t="s">
        <v>1777</v>
      </c>
      <c r="B59" s="346">
        <v>51</v>
      </c>
      <c r="C59" s="346"/>
      <c r="D59" s="346"/>
      <c r="E59" s="346"/>
      <c r="F59" s="346"/>
      <c r="G59" s="346" t="s">
        <v>1903</v>
      </c>
      <c r="H59" s="346" t="s">
        <v>1856</v>
      </c>
      <c r="I59" s="346" t="s">
        <v>1850</v>
      </c>
      <c r="J59" s="346" t="s">
        <v>1857</v>
      </c>
      <c r="K59" s="346" t="s">
        <v>1852</v>
      </c>
      <c r="L59" s="346" t="s">
        <v>1901</v>
      </c>
      <c r="M59" s="346" t="s">
        <v>1868</v>
      </c>
      <c r="N59" s="440">
        <v>0</v>
      </c>
      <c r="O59" s="440">
        <v>1776</v>
      </c>
      <c r="P59" s="440">
        <v>1776</v>
      </c>
      <c r="Q59" s="440">
        <v>26308.6</v>
      </c>
      <c r="R59" s="440">
        <v>0</v>
      </c>
      <c r="S59" s="440">
        <v>0</v>
      </c>
      <c r="T59" s="440">
        <v>26308.6</v>
      </c>
      <c r="U59" s="440">
        <v>0</v>
      </c>
      <c r="V59" s="440">
        <v>0</v>
      </c>
      <c r="W59" s="440">
        <v>0</v>
      </c>
      <c r="X59" s="440">
        <v>229.19</v>
      </c>
      <c r="Y59" s="440">
        <v>0</v>
      </c>
      <c r="Z59" s="440">
        <v>26079.41</v>
      </c>
      <c r="AA59" s="440">
        <v>0</v>
      </c>
      <c r="AB59" s="440">
        <v>0</v>
      </c>
      <c r="AC59" s="440">
        <v>0</v>
      </c>
      <c r="AD59" s="440">
        <v>0</v>
      </c>
      <c r="AE59" s="440">
        <v>0</v>
      </c>
      <c r="AF59" s="440">
        <v>26308.6</v>
      </c>
      <c r="AH59" s="269"/>
    </row>
    <row r="60" spans="1:34">
      <c r="A60" s="346" t="s">
        <v>1777</v>
      </c>
      <c r="B60" s="346">
        <v>52</v>
      </c>
      <c r="C60" s="346"/>
      <c r="D60" s="346"/>
      <c r="E60" s="346"/>
      <c r="F60" s="346"/>
      <c r="G60" s="346" t="s">
        <v>1903</v>
      </c>
      <c r="H60" s="346" t="s">
        <v>1856</v>
      </c>
      <c r="I60" s="346" t="s">
        <v>1850</v>
      </c>
      <c r="J60" s="346" t="s">
        <v>1857</v>
      </c>
      <c r="K60" s="346" t="s">
        <v>1852</v>
      </c>
      <c r="L60" s="346" t="s">
        <v>1858</v>
      </c>
      <c r="M60" s="346" t="s">
        <v>1868</v>
      </c>
      <c r="N60" s="440">
        <v>0</v>
      </c>
      <c r="O60" s="440">
        <v>1686</v>
      </c>
      <c r="P60" s="440">
        <v>1686</v>
      </c>
      <c r="Q60" s="440">
        <v>30692.6</v>
      </c>
      <c r="R60" s="440">
        <v>7.4799999999999986</v>
      </c>
      <c r="S60" s="440">
        <v>0</v>
      </c>
      <c r="T60" s="440">
        <v>30700.079999999998</v>
      </c>
      <c r="U60" s="440">
        <v>0</v>
      </c>
      <c r="V60" s="440">
        <v>0</v>
      </c>
      <c r="W60" s="440">
        <v>7.4799999999999986</v>
      </c>
      <c r="X60" s="440">
        <v>178.6</v>
      </c>
      <c r="Y60" s="440">
        <v>0</v>
      </c>
      <c r="Z60" s="440">
        <v>30514</v>
      </c>
      <c r="AA60" s="440">
        <v>0</v>
      </c>
      <c r="AB60" s="440">
        <v>0</v>
      </c>
      <c r="AC60" s="440">
        <v>0</v>
      </c>
      <c r="AD60" s="440">
        <v>0</v>
      </c>
      <c r="AE60" s="440">
        <v>0</v>
      </c>
      <c r="AF60" s="440">
        <v>30700.080000000002</v>
      </c>
      <c r="AH60" s="269"/>
    </row>
    <row r="61" spans="1:34">
      <c r="A61" s="346" t="s">
        <v>1777</v>
      </c>
      <c r="B61" s="346">
        <v>53</v>
      </c>
      <c r="C61" s="346"/>
      <c r="D61" s="346"/>
      <c r="E61" s="346"/>
      <c r="F61" s="346"/>
      <c r="G61" s="346" t="s">
        <v>1903</v>
      </c>
      <c r="H61" s="346" t="s">
        <v>1850</v>
      </c>
      <c r="I61" s="346" t="s">
        <v>1850</v>
      </c>
      <c r="J61" s="346" t="s">
        <v>1857</v>
      </c>
      <c r="K61" s="346" t="s">
        <v>1852</v>
      </c>
      <c r="L61" s="346" t="s">
        <v>1868</v>
      </c>
      <c r="M61" s="346" t="s">
        <v>1868</v>
      </c>
      <c r="N61" s="440">
        <v>0</v>
      </c>
      <c r="O61" s="440">
        <v>616</v>
      </c>
      <c r="P61" s="440">
        <v>616</v>
      </c>
      <c r="Q61" s="440">
        <v>7148.15</v>
      </c>
      <c r="R61" s="440">
        <v>1264.7973400000001</v>
      </c>
      <c r="S61" s="440">
        <v>0</v>
      </c>
      <c r="T61" s="440">
        <v>8412.9473399999988</v>
      </c>
      <c r="U61" s="440">
        <v>0</v>
      </c>
      <c r="V61" s="440">
        <v>0</v>
      </c>
      <c r="W61" s="440">
        <v>1264.7973400000001</v>
      </c>
      <c r="X61" s="440">
        <v>41.6</v>
      </c>
      <c r="Y61" s="440">
        <v>0</v>
      </c>
      <c r="Z61" s="440">
        <v>7106.55</v>
      </c>
      <c r="AA61" s="440">
        <v>0</v>
      </c>
      <c r="AB61" s="440">
        <v>0</v>
      </c>
      <c r="AC61" s="440">
        <v>0</v>
      </c>
      <c r="AD61" s="440">
        <v>0</v>
      </c>
      <c r="AE61" s="440">
        <v>0</v>
      </c>
      <c r="AF61" s="440">
        <v>8412.9473400000006</v>
      </c>
      <c r="AH61" s="269"/>
    </row>
    <row r="62" spans="1:34">
      <c r="A62" s="346" t="s">
        <v>1777</v>
      </c>
      <c r="B62" s="346">
        <v>54</v>
      </c>
      <c r="C62" s="346"/>
      <c r="D62" s="346"/>
      <c r="E62" s="346"/>
      <c r="F62" s="346"/>
      <c r="G62" s="346" t="s">
        <v>1903</v>
      </c>
      <c r="H62" s="346" t="s">
        <v>1849</v>
      </c>
      <c r="I62" s="346" t="s">
        <v>1849</v>
      </c>
      <c r="J62" s="346" t="s">
        <v>1857</v>
      </c>
      <c r="K62" s="346" t="s">
        <v>1852</v>
      </c>
      <c r="L62" s="346" t="s">
        <v>1902</v>
      </c>
      <c r="M62" s="346" t="s">
        <v>1859</v>
      </c>
      <c r="N62" s="440">
        <v>0</v>
      </c>
      <c r="O62" s="440">
        <v>0</v>
      </c>
      <c r="P62" s="440">
        <v>0</v>
      </c>
      <c r="Q62" s="440">
        <v>544.62</v>
      </c>
      <c r="R62" s="440">
        <v>0</v>
      </c>
      <c r="S62" s="440">
        <v>0</v>
      </c>
      <c r="T62" s="440">
        <v>544.62</v>
      </c>
      <c r="U62" s="440">
        <v>0</v>
      </c>
      <c r="V62" s="440">
        <v>0</v>
      </c>
      <c r="W62" s="440">
        <v>0</v>
      </c>
      <c r="X62" s="440">
        <v>2.82</v>
      </c>
      <c r="Y62" s="440">
        <v>0</v>
      </c>
      <c r="Z62" s="440">
        <v>541.79999999999995</v>
      </c>
      <c r="AA62" s="440">
        <v>0</v>
      </c>
      <c r="AB62" s="440">
        <v>0</v>
      </c>
      <c r="AC62" s="440">
        <v>0</v>
      </c>
      <c r="AD62" s="440">
        <v>0</v>
      </c>
      <c r="AE62" s="440">
        <v>0</v>
      </c>
      <c r="AF62" s="440">
        <v>544.62</v>
      </c>
      <c r="AH62" s="269"/>
    </row>
    <row r="63" spans="1:34">
      <c r="A63" s="346" t="s">
        <v>1777</v>
      </c>
      <c r="B63" s="346">
        <v>55</v>
      </c>
      <c r="C63" s="346"/>
      <c r="D63" s="346"/>
      <c r="E63" s="346"/>
      <c r="F63" s="346"/>
      <c r="G63" s="346" t="s">
        <v>1903</v>
      </c>
      <c r="H63" s="346" t="s">
        <v>1865</v>
      </c>
      <c r="I63" s="346" t="s">
        <v>1849</v>
      </c>
      <c r="J63" s="346" t="s">
        <v>1857</v>
      </c>
      <c r="K63" s="346" t="s">
        <v>1852</v>
      </c>
      <c r="L63" s="346" t="s">
        <v>1866</v>
      </c>
      <c r="M63" s="346" t="s">
        <v>1902</v>
      </c>
      <c r="N63" s="440">
        <v>0</v>
      </c>
      <c r="O63" s="440">
        <v>0</v>
      </c>
      <c r="P63" s="440">
        <v>0</v>
      </c>
      <c r="Q63" s="440">
        <v>544.62</v>
      </c>
      <c r="R63" s="440">
        <v>90.14</v>
      </c>
      <c r="S63" s="440">
        <v>0</v>
      </c>
      <c r="T63" s="440">
        <v>634.76</v>
      </c>
      <c r="U63" s="440">
        <v>0</v>
      </c>
      <c r="V63" s="440">
        <v>0</v>
      </c>
      <c r="W63" s="440">
        <v>90.14</v>
      </c>
      <c r="X63" s="440">
        <v>2.82</v>
      </c>
      <c r="Y63" s="440">
        <v>0</v>
      </c>
      <c r="Z63" s="440">
        <v>541.79999999999995</v>
      </c>
      <c r="AA63" s="440">
        <v>0</v>
      </c>
      <c r="AB63" s="440">
        <v>0</v>
      </c>
      <c r="AC63" s="440">
        <v>0</v>
      </c>
      <c r="AD63" s="440">
        <v>0</v>
      </c>
      <c r="AE63" s="440">
        <v>0</v>
      </c>
      <c r="AF63" s="440">
        <v>634.76</v>
      </c>
      <c r="AH63" s="269"/>
    </row>
    <row r="64" spans="1:34">
      <c r="A64" s="346" t="s">
        <v>1777</v>
      </c>
      <c r="B64" s="346">
        <v>56</v>
      </c>
      <c r="C64" s="346"/>
      <c r="D64" s="346"/>
      <c r="E64" s="346"/>
      <c r="F64" s="346"/>
      <c r="G64" s="346" t="s">
        <v>1903</v>
      </c>
      <c r="H64" s="346" t="s">
        <v>1849</v>
      </c>
      <c r="I64" s="346" t="s">
        <v>1865</v>
      </c>
      <c r="J64" s="346" t="s">
        <v>1857</v>
      </c>
      <c r="K64" s="346" t="s">
        <v>1852</v>
      </c>
      <c r="L64" s="346" t="s">
        <v>1859</v>
      </c>
      <c r="M64" s="346" t="s">
        <v>1866</v>
      </c>
      <c r="N64" s="440">
        <v>0</v>
      </c>
      <c r="O64" s="440">
        <v>0</v>
      </c>
      <c r="P64" s="440">
        <v>0</v>
      </c>
      <c r="Q64" s="440">
        <v>2341.87</v>
      </c>
      <c r="R64" s="440">
        <v>143.93</v>
      </c>
      <c r="S64" s="440">
        <v>0</v>
      </c>
      <c r="T64" s="440">
        <v>2485.7999999999997</v>
      </c>
      <c r="U64" s="440">
        <v>0</v>
      </c>
      <c r="V64" s="440">
        <v>0</v>
      </c>
      <c r="W64" s="440">
        <v>143.93</v>
      </c>
      <c r="X64" s="440">
        <v>12.13</v>
      </c>
      <c r="Y64" s="440">
        <v>0</v>
      </c>
      <c r="Z64" s="440">
        <v>2329.7399999999998</v>
      </c>
      <c r="AA64" s="440">
        <v>0</v>
      </c>
      <c r="AB64" s="440">
        <v>0</v>
      </c>
      <c r="AC64" s="440">
        <v>0</v>
      </c>
      <c r="AD64" s="440">
        <v>0</v>
      </c>
      <c r="AE64" s="440">
        <v>0</v>
      </c>
      <c r="AF64" s="440">
        <v>2485.7999999999997</v>
      </c>
      <c r="AH64" s="269"/>
    </row>
    <row r="65" spans="1:34">
      <c r="A65" s="346" t="s">
        <v>1777</v>
      </c>
      <c r="B65" s="346">
        <v>57</v>
      </c>
      <c r="C65" s="346"/>
      <c r="D65" s="346"/>
      <c r="E65" s="346"/>
      <c r="F65" s="346"/>
      <c r="G65" s="346" t="s">
        <v>1903</v>
      </c>
      <c r="H65" s="346" t="s">
        <v>1861</v>
      </c>
      <c r="I65" s="346" t="s">
        <v>1861</v>
      </c>
      <c r="J65" s="346" t="s">
        <v>1857</v>
      </c>
      <c r="K65" s="346" t="s">
        <v>1852</v>
      </c>
      <c r="L65" s="346" t="s">
        <v>1864</v>
      </c>
      <c r="M65" s="346" t="s">
        <v>1864</v>
      </c>
      <c r="N65" s="440">
        <v>0</v>
      </c>
      <c r="O65" s="440">
        <v>1560</v>
      </c>
      <c r="P65" s="440">
        <v>1560</v>
      </c>
      <c r="Q65" s="440">
        <v>1034.78</v>
      </c>
      <c r="R65" s="440">
        <v>0</v>
      </c>
      <c r="S65" s="440">
        <v>0</v>
      </c>
      <c r="T65" s="440">
        <v>1034.78</v>
      </c>
      <c r="U65" s="440">
        <v>0</v>
      </c>
      <c r="V65" s="440">
        <v>0</v>
      </c>
      <c r="W65" s="440">
        <v>0</v>
      </c>
      <c r="X65" s="440">
        <v>0</v>
      </c>
      <c r="Y65" s="440">
        <v>0</v>
      </c>
      <c r="Z65" s="440">
        <v>0</v>
      </c>
      <c r="AA65" s="440">
        <v>0</v>
      </c>
      <c r="AB65" s="440">
        <v>0</v>
      </c>
      <c r="AC65" s="440">
        <v>0</v>
      </c>
      <c r="AD65" s="440">
        <v>0</v>
      </c>
      <c r="AE65" s="440">
        <v>0</v>
      </c>
      <c r="AF65" s="440">
        <v>0</v>
      </c>
      <c r="AH65" s="269"/>
    </row>
    <row r="66" spans="1:34">
      <c r="A66" s="346" t="s">
        <v>1777</v>
      </c>
      <c r="B66" s="346">
        <v>58</v>
      </c>
      <c r="C66" s="346"/>
      <c r="D66" s="346"/>
      <c r="E66" s="346"/>
      <c r="F66" s="346"/>
      <c r="G66" s="346" t="s">
        <v>1905</v>
      </c>
      <c r="H66" s="346" t="s">
        <v>1906</v>
      </c>
      <c r="I66" s="346" t="s">
        <v>1907</v>
      </c>
      <c r="J66" s="346" t="s">
        <v>1857</v>
      </c>
      <c r="K66" s="346" t="s">
        <v>1852</v>
      </c>
      <c r="L66" s="346" t="s">
        <v>1908</v>
      </c>
      <c r="M66" s="346" t="s">
        <v>1909</v>
      </c>
      <c r="N66" s="440">
        <v>0</v>
      </c>
      <c r="O66" s="440">
        <v>75</v>
      </c>
      <c r="P66" s="440">
        <v>75</v>
      </c>
      <c r="Q66" s="440">
        <v>680.56</v>
      </c>
      <c r="R66" s="440">
        <v>81</v>
      </c>
      <c r="S66" s="440">
        <v>0</v>
      </c>
      <c r="T66" s="440">
        <v>761.56</v>
      </c>
      <c r="U66" s="440">
        <v>0</v>
      </c>
      <c r="V66" s="440">
        <v>0</v>
      </c>
      <c r="W66" s="440">
        <v>81</v>
      </c>
      <c r="X66" s="440">
        <v>7.06</v>
      </c>
      <c r="Y66" s="440">
        <v>0</v>
      </c>
      <c r="Z66" s="440">
        <v>1354.5</v>
      </c>
      <c r="AA66" s="440">
        <v>0</v>
      </c>
      <c r="AB66" s="440">
        <v>0</v>
      </c>
      <c r="AC66" s="440">
        <v>0</v>
      </c>
      <c r="AD66" s="440">
        <v>0</v>
      </c>
      <c r="AE66" s="440">
        <v>0</v>
      </c>
      <c r="AF66" s="440">
        <v>1442.56</v>
      </c>
      <c r="AH66" s="269"/>
    </row>
    <row r="67" spans="1:34">
      <c r="A67" s="346" t="s">
        <v>1777</v>
      </c>
      <c r="B67" s="346">
        <v>59</v>
      </c>
      <c r="C67" s="346"/>
      <c r="D67" s="346"/>
      <c r="E67" s="346"/>
      <c r="F67" s="346"/>
      <c r="G67" s="346" t="s">
        <v>1910</v>
      </c>
      <c r="H67" s="346" t="s">
        <v>1850</v>
      </c>
      <c r="I67" s="346" t="s">
        <v>1861</v>
      </c>
      <c r="J67" s="346" t="s">
        <v>1851</v>
      </c>
      <c r="K67" s="346" t="s">
        <v>1852</v>
      </c>
      <c r="L67" s="346" t="s">
        <v>1871</v>
      </c>
      <c r="M67" s="346" t="s">
        <v>1864</v>
      </c>
      <c r="N67" s="440">
        <v>0</v>
      </c>
      <c r="O67" s="440">
        <v>54536</v>
      </c>
      <c r="P67" s="440">
        <v>54536</v>
      </c>
      <c r="Q67" s="440">
        <v>116986</v>
      </c>
      <c r="R67" s="440">
        <v>585001</v>
      </c>
      <c r="S67" s="440">
        <v>0</v>
      </c>
      <c r="T67" s="440">
        <v>701987</v>
      </c>
      <c r="U67" s="440">
        <v>0</v>
      </c>
      <c r="V67" s="440">
        <v>0</v>
      </c>
      <c r="W67" s="440">
        <v>585001</v>
      </c>
      <c r="X67" s="440">
        <v>635.30000000000007</v>
      </c>
      <c r="Y67" s="440">
        <v>0</v>
      </c>
      <c r="Z67" s="440">
        <v>0</v>
      </c>
      <c r="AA67" s="440">
        <v>116350.50999999998</v>
      </c>
      <c r="AB67" s="440">
        <v>0</v>
      </c>
      <c r="AC67" s="440">
        <v>0</v>
      </c>
      <c r="AD67" s="440">
        <v>0</v>
      </c>
      <c r="AE67" s="440">
        <v>0</v>
      </c>
      <c r="AF67" s="440">
        <v>701986.81</v>
      </c>
      <c r="AH67" s="269"/>
    </row>
    <row r="68" spans="1:34">
      <c r="A68" s="346" t="s">
        <v>1777</v>
      </c>
      <c r="B68" s="346">
        <v>60</v>
      </c>
      <c r="C68" s="346"/>
      <c r="D68" s="346"/>
      <c r="E68" s="346"/>
      <c r="F68" s="346"/>
      <c r="G68" s="346" t="s">
        <v>1911</v>
      </c>
      <c r="H68" s="346" t="s">
        <v>1850</v>
      </c>
      <c r="I68" s="346" t="s">
        <v>1861</v>
      </c>
      <c r="J68" s="346" t="s">
        <v>1862</v>
      </c>
      <c r="K68" s="346" t="s">
        <v>1852</v>
      </c>
      <c r="L68" s="346" t="s">
        <v>1871</v>
      </c>
      <c r="M68" s="346" t="s">
        <v>1864</v>
      </c>
      <c r="N68" s="440">
        <v>269</v>
      </c>
      <c r="O68" s="440">
        <v>1017500</v>
      </c>
      <c r="P68" s="440">
        <v>1017500</v>
      </c>
      <c r="Q68" s="440">
        <v>11669354</v>
      </c>
      <c r="R68" s="440">
        <v>366147</v>
      </c>
      <c r="S68" s="440">
        <v>0</v>
      </c>
      <c r="T68" s="440">
        <v>12035501</v>
      </c>
      <c r="U68" s="440">
        <v>11564668.189999999</v>
      </c>
      <c r="V68" s="440">
        <v>0</v>
      </c>
      <c r="W68" s="440">
        <v>366147</v>
      </c>
      <c r="X68" s="440">
        <v>104685.81000000001</v>
      </c>
      <c r="Y68" s="440">
        <v>0</v>
      </c>
      <c r="Z68" s="440">
        <v>0</v>
      </c>
      <c r="AA68" s="440">
        <v>0</v>
      </c>
      <c r="AB68" s="440">
        <v>0</v>
      </c>
      <c r="AC68" s="440">
        <v>0</v>
      </c>
      <c r="AD68" s="440">
        <v>0</v>
      </c>
      <c r="AE68" s="440">
        <v>0</v>
      </c>
      <c r="AF68" s="440">
        <v>12035501</v>
      </c>
      <c r="AH68" s="269"/>
    </row>
    <row r="69" spans="1:34">
      <c r="A69" s="346" t="s">
        <v>1777</v>
      </c>
      <c r="B69" s="346">
        <v>61</v>
      </c>
      <c r="C69" s="346"/>
      <c r="D69" s="346"/>
      <c r="E69" s="346"/>
      <c r="F69" s="346"/>
      <c r="G69" s="346" t="s">
        <v>1912</v>
      </c>
      <c r="H69" s="346" t="s">
        <v>1861</v>
      </c>
      <c r="I69" s="346" t="s">
        <v>1907</v>
      </c>
      <c r="J69" s="346" t="s">
        <v>1851</v>
      </c>
      <c r="K69" s="346" t="s">
        <v>1852</v>
      </c>
      <c r="L69" s="346" t="s">
        <v>1864</v>
      </c>
      <c r="M69" s="346" t="s">
        <v>1913</v>
      </c>
      <c r="N69" s="440">
        <v>0</v>
      </c>
      <c r="O69" s="440">
        <v>1000</v>
      </c>
      <c r="P69" s="440">
        <v>1000</v>
      </c>
      <c r="Q69" s="440">
        <v>9240.09</v>
      </c>
      <c r="R69" s="440">
        <v>13599.365940000002</v>
      </c>
      <c r="S69" s="440">
        <v>0</v>
      </c>
      <c r="T69" s="440">
        <v>22839.45594</v>
      </c>
      <c r="U69" s="440">
        <v>0</v>
      </c>
      <c r="V69" s="440">
        <v>0</v>
      </c>
      <c r="W69" s="440">
        <v>13599.365940000002</v>
      </c>
      <c r="X69" s="440">
        <v>0</v>
      </c>
      <c r="Y69" s="440">
        <v>0</v>
      </c>
      <c r="Z69" s="440">
        <v>0</v>
      </c>
      <c r="AA69" s="440">
        <v>0</v>
      </c>
      <c r="AB69" s="440">
        <v>0</v>
      </c>
      <c r="AC69" s="440">
        <v>0</v>
      </c>
      <c r="AD69" s="440">
        <v>0</v>
      </c>
      <c r="AE69" s="440">
        <v>0</v>
      </c>
      <c r="AF69" s="440">
        <v>13599.365940000002</v>
      </c>
      <c r="AH69" s="269"/>
    </row>
    <row r="70" spans="1:34">
      <c r="A70" s="346" t="s">
        <v>1777</v>
      </c>
      <c r="B70" s="346">
        <v>62</v>
      </c>
      <c r="C70" s="346"/>
      <c r="D70" s="346"/>
      <c r="E70" s="346"/>
      <c r="F70" s="346"/>
      <c r="G70" s="346" t="s">
        <v>1912</v>
      </c>
      <c r="H70" s="346" t="s">
        <v>1906</v>
      </c>
      <c r="I70" s="346" t="s">
        <v>1907</v>
      </c>
      <c r="J70" s="346" t="s">
        <v>1851</v>
      </c>
      <c r="K70" s="346" t="s">
        <v>1852</v>
      </c>
      <c r="L70" s="346" t="s">
        <v>1908</v>
      </c>
      <c r="M70" s="346" t="s">
        <v>1913</v>
      </c>
      <c r="N70" s="440">
        <v>0</v>
      </c>
      <c r="O70" s="440">
        <v>3958</v>
      </c>
      <c r="P70" s="440">
        <v>3958</v>
      </c>
      <c r="Q70" s="440">
        <v>945.01</v>
      </c>
      <c r="R70" s="440">
        <v>0</v>
      </c>
      <c r="S70" s="440">
        <v>0</v>
      </c>
      <c r="T70" s="440">
        <v>945.01</v>
      </c>
      <c r="U70" s="440">
        <v>0</v>
      </c>
      <c r="V70" s="440">
        <v>0</v>
      </c>
      <c r="W70" s="440">
        <v>0</v>
      </c>
      <c r="X70" s="440">
        <v>0</v>
      </c>
      <c r="Y70" s="440">
        <v>0</v>
      </c>
      <c r="Z70" s="440">
        <v>0</v>
      </c>
      <c r="AA70" s="440">
        <v>0</v>
      </c>
      <c r="AB70" s="440">
        <v>0</v>
      </c>
      <c r="AC70" s="440">
        <v>0</v>
      </c>
      <c r="AD70" s="440">
        <v>0</v>
      </c>
      <c r="AE70" s="440">
        <v>0</v>
      </c>
      <c r="AF70" s="440">
        <v>0</v>
      </c>
      <c r="AH70" s="269"/>
    </row>
    <row r="71" spans="1:34">
      <c r="A71" s="346" t="s">
        <v>1777</v>
      </c>
      <c r="B71" s="346">
        <v>63</v>
      </c>
      <c r="C71" s="346"/>
      <c r="D71" s="346"/>
      <c r="E71" s="346"/>
      <c r="F71" s="346"/>
      <c r="G71" s="346" t="s">
        <v>1912</v>
      </c>
      <c r="H71" s="346" t="s">
        <v>1861</v>
      </c>
      <c r="I71" s="346" t="s">
        <v>1849</v>
      </c>
      <c r="J71" s="346" t="s">
        <v>1851</v>
      </c>
      <c r="K71" s="346" t="s">
        <v>1852</v>
      </c>
      <c r="L71" s="346" t="s">
        <v>1864</v>
      </c>
      <c r="M71" s="346" t="s">
        <v>1889</v>
      </c>
      <c r="N71" s="440">
        <v>0</v>
      </c>
      <c r="O71" s="440">
        <v>7053</v>
      </c>
      <c r="P71" s="440">
        <v>7053</v>
      </c>
      <c r="Q71" s="440">
        <v>35919.089999999997</v>
      </c>
      <c r="R71" s="440">
        <v>52168</v>
      </c>
      <c r="S71" s="440">
        <v>0</v>
      </c>
      <c r="T71" s="440">
        <v>88087.09</v>
      </c>
      <c r="U71" s="440">
        <v>0</v>
      </c>
      <c r="V71" s="440">
        <v>0</v>
      </c>
      <c r="W71" s="440">
        <v>52168</v>
      </c>
      <c r="X71" s="440">
        <v>244.26999999999998</v>
      </c>
      <c r="Y71" s="440">
        <v>0</v>
      </c>
      <c r="Z71" s="440">
        <v>0</v>
      </c>
      <c r="AA71" s="440">
        <v>44914.909999999996</v>
      </c>
      <c r="AB71" s="440">
        <v>0</v>
      </c>
      <c r="AC71" s="440">
        <v>0</v>
      </c>
      <c r="AD71" s="440">
        <v>0</v>
      </c>
      <c r="AE71" s="440">
        <v>0</v>
      </c>
      <c r="AF71" s="440">
        <v>97327.18</v>
      </c>
      <c r="AH71" s="269"/>
    </row>
    <row r="72" spans="1:34">
      <c r="A72" s="346" t="s">
        <v>1777</v>
      </c>
      <c r="B72" s="346">
        <v>64</v>
      </c>
      <c r="C72" s="346"/>
      <c r="D72" s="346"/>
      <c r="E72" s="346"/>
      <c r="F72" s="346"/>
      <c r="G72" s="346" t="s">
        <v>1914</v>
      </c>
      <c r="H72" s="346" t="s">
        <v>1861</v>
      </c>
      <c r="I72" s="346" t="s">
        <v>1849</v>
      </c>
      <c r="J72" s="346" t="s">
        <v>1862</v>
      </c>
      <c r="K72" s="346" t="s">
        <v>1852</v>
      </c>
      <c r="L72" s="346" t="s">
        <v>1864</v>
      </c>
      <c r="M72" s="346" t="s">
        <v>1889</v>
      </c>
      <c r="N72" s="440">
        <v>104</v>
      </c>
      <c r="O72" s="440">
        <v>40677</v>
      </c>
      <c r="P72" s="440">
        <v>40677</v>
      </c>
      <c r="Q72" s="440">
        <v>4060319.9833333301</v>
      </c>
      <c r="R72" s="440">
        <v>3699.6453099999999</v>
      </c>
      <c r="S72" s="440">
        <v>0</v>
      </c>
      <c r="T72" s="440">
        <v>4064019.6286433302</v>
      </c>
      <c r="U72" s="440">
        <v>4016846.6733333301</v>
      </c>
      <c r="V72" s="440">
        <v>0</v>
      </c>
      <c r="W72" s="440">
        <v>3699.6453099999999</v>
      </c>
      <c r="X72" s="440">
        <v>43473.310000000012</v>
      </c>
      <c r="Y72" s="440">
        <v>0</v>
      </c>
      <c r="Z72" s="440">
        <v>0</v>
      </c>
      <c r="AA72" s="440">
        <v>0</v>
      </c>
      <c r="AB72" s="440">
        <v>0</v>
      </c>
      <c r="AC72" s="440">
        <v>0</v>
      </c>
      <c r="AD72" s="440">
        <v>0</v>
      </c>
      <c r="AE72" s="440">
        <v>0</v>
      </c>
      <c r="AF72" s="440">
        <v>4064019.6286433302</v>
      </c>
      <c r="AH72" s="269"/>
    </row>
    <row r="73" spans="1:34">
      <c r="A73" s="346" t="s">
        <v>1777</v>
      </c>
      <c r="B73" s="346">
        <v>65</v>
      </c>
      <c r="C73" s="346"/>
      <c r="D73" s="346"/>
      <c r="E73" s="346"/>
      <c r="F73" s="346"/>
      <c r="G73" s="346" t="s">
        <v>1914</v>
      </c>
      <c r="H73" s="346" t="s">
        <v>1861</v>
      </c>
      <c r="I73" s="346" t="s">
        <v>1861</v>
      </c>
      <c r="J73" s="346" t="s">
        <v>1862</v>
      </c>
      <c r="K73" s="346" t="s">
        <v>1852</v>
      </c>
      <c r="L73" s="346" t="s">
        <v>1864</v>
      </c>
      <c r="M73" s="346" t="s">
        <v>1864</v>
      </c>
      <c r="N73" s="440">
        <v>0</v>
      </c>
      <c r="O73" s="440">
        <v>120</v>
      </c>
      <c r="P73" s="440">
        <v>120</v>
      </c>
      <c r="Q73" s="440">
        <v>788285.32666666666</v>
      </c>
      <c r="R73" s="440">
        <v>4667.8900000000003</v>
      </c>
      <c r="S73" s="440">
        <v>0</v>
      </c>
      <c r="T73" s="440">
        <v>792953.21666666667</v>
      </c>
      <c r="U73" s="440">
        <v>788285.32666666666</v>
      </c>
      <c r="V73" s="440">
        <v>0</v>
      </c>
      <c r="W73" s="440">
        <v>4667.8900000000003</v>
      </c>
      <c r="X73" s="440">
        <v>0</v>
      </c>
      <c r="Y73" s="440">
        <v>0</v>
      </c>
      <c r="Z73" s="440">
        <v>0</v>
      </c>
      <c r="AA73" s="440">
        <v>0</v>
      </c>
      <c r="AB73" s="440">
        <v>0</v>
      </c>
      <c r="AC73" s="440">
        <v>0</v>
      </c>
      <c r="AD73" s="440">
        <v>0</v>
      </c>
      <c r="AE73" s="440">
        <v>0</v>
      </c>
      <c r="AF73" s="440">
        <v>792953.21666666667</v>
      </c>
      <c r="AH73" s="269"/>
    </row>
    <row r="74" spans="1:34">
      <c r="A74" s="346" t="s">
        <v>1777</v>
      </c>
      <c r="B74" s="346">
        <v>66</v>
      </c>
      <c r="C74" s="346"/>
      <c r="D74" s="346"/>
      <c r="E74" s="346"/>
      <c r="F74" s="346"/>
      <c r="G74" s="346" t="s">
        <v>1915</v>
      </c>
      <c r="H74" s="346" t="s">
        <v>1849</v>
      </c>
      <c r="I74" s="346" t="s">
        <v>1861</v>
      </c>
      <c r="J74" s="346" t="s">
        <v>1851</v>
      </c>
      <c r="K74" s="346" t="s">
        <v>1852</v>
      </c>
      <c r="L74" s="346" t="s">
        <v>1889</v>
      </c>
      <c r="M74" s="346" t="s">
        <v>1864</v>
      </c>
      <c r="N74" s="440">
        <v>0</v>
      </c>
      <c r="O74" s="440">
        <v>30</v>
      </c>
      <c r="P74" s="440">
        <v>30</v>
      </c>
      <c r="Q74" s="440">
        <v>242.31</v>
      </c>
      <c r="R74" s="440">
        <v>0</v>
      </c>
      <c r="S74" s="440">
        <v>0</v>
      </c>
      <c r="T74" s="440">
        <v>242.31</v>
      </c>
      <c r="U74" s="440">
        <v>0</v>
      </c>
      <c r="V74" s="440">
        <v>0</v>
      </c>
      <c r="W74" s="440">
        <v>0</v>
      </c>
      <c r="X74" s="440">
        <v>1.41</v>
      </c>
      <c r="Y74" s="440">
        <v>0</v>
      </c>
      <c r="Z74" s="440">
        <v>0</v>
      </c>
      <c r="AA74" s="440">
        <v>240.89999999999998</v>
      </c>
      <c r="AB74" s="440">
        <v>0</v>
      </c>
      <c r="AC74" s="440">
        <v>0</v>
      </c>
      <c r="AD74" s="440">
        <v>0</v>
      </c>
      <c r="AE74" s="440">
        <v>0</v>
      </c>
      <c r="AF74" s="440">
        <v>242.30999999999997</v>
      </c>
      <c r="AH74" s="269"/>
    </row>
    <row r="75" spans="1:34">
      <c r="A75" s="346" t="s">
        <v>1777</v>
      </c>
      <c r="B75" s="346">
        <v>67</v>
      </c>
      <c r="C75" s="346"/>
      <c r="D75" s="346"/>
      <c r="E75" s="346"/>
      <c r="F75" s="346"/>
      <c r="G75" s="346" t="s">
        <v>1915</v>
      </c>
      <c r="H75" s="346" t="s">
        <v>1849</v>
      </c>
      <c r="I75" s="346" t="s">
        <v>1849</v>
      </c>
      <c r="J75" s="346" t="s">
        <v>1851</v>
      </c>
      <c r="K75" s="346" t="s">
        <v>1852</v>
      </c>
      <c r="L75" s="346" t="s">
        <v>1902</v>
      </c>
      <c r="M75" s="346" t="s">
        <v>1902</v>
      </c>
      <c r="N75" s="440">
        <v>0</v>
      </c>
      <c r="O75" s="440">
        <v>3261</v>
      </c>
      <c r="P75" s="440">
        <v>3261</v>
      </c>
      <c r="Q75" s="440">
        <v>19161.400000000001</v>
      </c>
      <c r="R75" s="440">
        <v>5393.6901099999995</v>
      </c>
      <c r="S75" s="440">
        <v>0</v>
      </c>
      <c r="T75" s="440">
        <v>24555.090110000001</v>
      </c>
      <c r="U75" s="440">
        <v>0</v>
      </c>
      <c r="V75" s="440">
        <v>0</v>
      </c>
      <c r="W75" s="440">
        <v>5393.6901099999995</v>
      </c>
      <c r="X75" s="440">
        <v>105.84</v>
      </c>
      <c r="Y75" s="440">
        <v>0</v>
      </c>
      <c r="Z75" s="440">
        <v>0</v>
      </c>
      <c r="AA75" s="440">
        <v>19055.559999999998</v>
      </c>
      <c r="AB75" s="440">
        <v>0</v>
      </c>
      <c r="AC75" s="440">
        <v>0</v>
      </c>
      <c r="AD75" s="440">
        <v>0</v>
      </c>
      <c r="AE75" s="440">
        <v>0</v>
      </c>
      <c r="AF75" s="440">
        <v>24555.090109999997</v>
      </c>
      <c r="AH75" s="269"/>
    </row>
    <row r="76" spans="1:34">
      <c r="A76" s="346" t="s">
        <v>1777</v>
      </c>
      <c r="B76" s="346">
        <v>68</v>
      </c>
      <c r="C76" s="346"/>
      <c r="D76" s="346"/>
      <c r="E76" s="346"/>
      <c r="F76" s="346"/>
      <c r="G76" s="346" t="s">
        <v>1915</v>
      </c>
      <c r="H76" s="346" t="s">
        <v>1849</v>
      </c>
      <c r="I76" s="346" t="s">
        <v>1856</v>
      </c>
      <c r="J76" s="346" t="s">
        <v>1851</v>
      </c>
      <c r="K76" s="346" t="s">
        <v>1852</v>
      </c>
      <c r="L76" s="346" t="s">
        <v>1916</v>
      </c>
      <c r="M76" s="346" t="s">
        <v>1917</v>
      </c>
      <c r="N76" s="440">
        <v>0</v>
      </c>
      <c r="O76" s="440">
        <v>4588</v>
      </c>
      <c r="P76" s="440">
        <v>4588</v>
      </c>
      <c r="Q76" s="440">
        <v>741.62</v>
      </c>
      <c r="R76" s="440">
        <v>18405.860339999999</v>
      </c>
      <c r="S76" s="440">
        <v>0</v>
      </c>
      <c r="T76" s="440">
        <v>19147.480339999998</v>
      </c>
      <c r="U76" s="440">
        <v>0</v>
      </c>
      <c r="V76" s="440">
        <v>0</v>
      </c>
      <c r="W76" s="440">
        <v>18405.860339999999</v>
      </c>
      <c r="X76" s="440">
        <v>4.04</v>
      </c>
      <c r="Y76" s="440">
        <v>0</v>
      </c>
      <c r="Z76" s="440">
        <v>0</v>
      </c>
      <c r="AA76" s="440">
        <v>737.57999999999981</v>
      </c>
      <c r="AB76" s="440">
        <v>0</v>
      </c>
      <c r="AC76" s="440">
        <v>0</v>
      </c>
      <c r="AD76" s="440">
        <v>0</v>
      </c>
      <c r="AE76" s="440">
        <v>0</v>
      </c>
      <c r="AF76" s="440">
        <v>19147.480339999998</v>
      </c>
      <c r="AH76" s="269"/>
    </row>
    <row r="77" spans="1:34">
      <c r="A77" s="346" t="s">
        <v>1777</v>
      </c>
      <c r="B77" s="346">
        <v>69</v>
      </c>
      <c r="C77" s="346"/>
      <c r="D77" s="346"/>
      <c r="E77" s="346"/>
      <c r="F77" s="346"/>
      <c r="G77" s="346" t="s">
        <v>1915</v>
      </c>
      <c r="H77" s="346" t="s">
        <v>1906</v>
      </c>
      <c r="I77" s="346" t="s">
        <v>1907</v>
      </c>
      <c r="J77" s="346" t="s">
        <v>1851</v>
      </c>
      <c r="K77" s="346" t="s">
        <v>1852</v>
      </c>
      <c r="L77" s="346" t="s">
        <v>1908</v>
      </c>
      <c r="M77" s="346" t="s">
        <v>1909</v>
      </c>
      <c r="N77" s="440">
        <v>0</v>
      </c>
      <c r="O77" s="440">
        <v>117</v>
      </c>
      <c r="P77" s="440">
        <v>117</v>
      </c>
      <c r="Q77" s="440">
        <v>6065.83</v>
      </c>
      <c r="R77" s="440">
        <v>2228.65</v>
      </c>
      <c r="S77" s="440">
        <v>0</v>
      </c>
      <c r="T77" s="440">
        <v>8294.48</v>
      </c>
      <c r="U77" s="440">
        <v>0</v>
      </c>
      <c r="V77" s="440">
        <v>0</v>
      </c>
      <c r="W77" s="440">
        <v>2228.65</v>
      </c>
      <c r="X77" s="440">
        <v>40.799999999999997</v>
      </c>
      <c r="Y77" s="440">
        <v>0</v>
      </c>
      <c r="Z77" s="440">
        <v>0</v>
      </c>
      <c r="AA77" s="440">
        <v>6970.04</v>
      </c>
      <c r="AB77" s="440">
        <v>0</v>
      </c>
      <c r="AC77" s="440">
        <v>0</v>
      </c>
      <c r="AD77" s="440">
        <v>0</v>
      </c>
      <c r="AE77" s="440">
        <v>0</v>
      </c>
      <c r="AF77" s="440">
        <v>9239.49</v>
      </c>
      <c r="AH77" s="269"/>
    </row>
    <row r="78" spans="1:34">
      <c r="A78" s="346" t="s">
        <v>1777</v>
      </c>
      <c r="B78" s="346">
        <v>70</v>
      </c>
      <c r="C78" s="346"/>
      <c r="D78" s="346"/>
      <c r="E78" s="346"/>
      <c r="F78" s="346"/>
      <c r="G78" s="346" t="s">
        <v>1915</v>
      </c>
      <c r="H78" s="346" t="s">
        <v>1850</v>
      </c>
      <c r="I78" s="346" t="s">
        <v>1849</v>
      </c>
      <c r="J78" s="346" t="s">
        <v>1851</v>
      </c>
      <c r="K78" s="346" t="s">
        <v>1852</v>
      </c>
      <c r="L78" s="346" t="s">
        <v>1854</v>
      </c>
      <c r="M78" s="346" t="s">
        <v>1853</v>
      </c>
      <c r="N78" s="440">
        <v>0</v>
      </c>
      <c r="O78" s="440">
        <v>301</v>
      </c>
      <c r="P78" s="440">
        <v>301</v>
      </c>
      <c r="Q78" s="440">
        <v>2431.1799999999998</v>
      </c>
      <c r="R78" s="440">
        <v>120.97</v>
      </c>
      <c r="S78" s="440">
        <v>0</v>
      </c>
      <c r="T78" s="440">
        <v>2552.1499999999996</v>
      </c>
      <c r="U78" s="440">
        <v>0</v>
      </c>
      <c r="V78" s="440">
        <v>0</v>
      </c>
      <c r="W78" s="440">
        <v>120.97</v>
      </c>
      <c r="X78" s="440">
        <v>14.15</v>
      </c>
      <c r="Y78" s="440">
        <v>0</v>
      </c>
      <c r="Z78" s="440">
        <v>0</v>
      </c>
      <c r="AA78" s="440">
        <v>2417.0299999999997</v>
      </c>
      <c r="AB78" s="440">
        <v>0</v>
      </c>
      <c r="AC78" s="440">
        <v>0</v>
      </c>
      <c r="AD78" s="440">
        <v>0</v>
      </c>
      <c r="AE78" s="440">
        <v>0</v>
      </c>
      <c r="AF78" s="440">
        <v>2552.1499999999996</v>
      </c>
      <c r="AH78" s="269"/>
    </row>
    <row r="79" spans="1:34">
      <c r="A79" s="346" t="s">
        <v>1777</v>
      </c>
      <c r="B79" s="346">
        <v>71</v>
      </c>
      <c r="C79" s="346"/>
      <c r="D79" s="346"/>
      <c r="E79" s="346"/>
      <c r="F79" s="346"/>
      <c r="G79" s="346" t="s">
        <v>1918</v>
      </c>
      <c r="H79" s="346" t="s">
        <v>1849</v>
      </c>
      <c r="I79" s="346" t="s">
        <v>1849</v>
      </c>
      <c r="J79" s="346" t="s">
        <v>1857</v>
      </c>
      <c r="K79" s="346" t="s">
        <v>1852</v>
      </c>
      <c r="L79" s="346" t="s">
        <v>1902</v>
      </c>
      <c r="M79" s="346" t="s">
        <v>1902</v>
      </c>
      <c r="N79" s="440">
        <v>0</v>
      </c>
      <c r="O79" s="440">
        <v>0</v>
      </c>
      <c r="P79" s="440">
        <v>0</v>
      </c>
      <c r="Q79" s="440">
        <v>32740.9</v>
      </c>
      <c r="R79" s="440">
        <v>0</v>
      </c>
      <c r="S79" s="440">
        <v>0</v>
      </c>
      <c r="T79" s="440">
        <v>32740.9</v>
      </c>
      <c r="U79" s="440">
        <v>0</v>
      </c>
      <c r="V79" s="440">
        <v>0</v>
      </c>
      <c r="W79" s="440">
        <v>0</v>
      </c>
      <c r="X79" s="440">
        <v>267.43</v>
      </c>
      <c r="Y79" s="440">
        <v>0</v>
      </c>
      <c r="Z79" s="440">
        <v>50772.7</v>
      </c>
      <c r="AA79" s="440">
        <v>0</v>
      </c>
      <c r="AB79" s="440">
        <v>0</v>
      </c>
      <c r="AC79" s="440">
        <v>0</v>
      </c>
      <c r="AD79" s="440">
        <v>0</v>
      </c>
      <c r="AE79" s="440">
        <v>0</v>
      </c>
      <c r="AF79" s="440">
        <v>51040.13</v>
      </c>
      <c r="AH79" s="269"/>
    </row>
    <row r="80" spans="1:34">
      <c r="A80" s="346" t="s">
        <v>1777</v>
      </c>
      <c r="B80" s="346">
        <v>72</v>
      </c>
      <c r="C80" s="346"/>
      <c r="D80" s="346"/>
      <c r="E80" s="346"/>
      <c r="F80" s="346"/>
      <c r="G80" s="346" t="s">
        <v>1918</v>
      </c>
      <c r="H80" s="346" t="s">
        <v>1849</v>
      </c>
      <c r="I80" s="346" t="s">
        <v>1856</v>
      </c>
      <c r="J80" s="346" t="s">
        <v>1857</v>
      </c>
      <c r="K80" s="346" t="s">
        <v>1852</v>
      </c>
      <c r="L80" s="346" t="s">
        <v>1916</v>
      </c>
      <c r="M80" s="346" t="s">
        <v>1917</v>
      </c>
      <c r="N80" s="440">
        <v>0</v>
      </c>
      <c r="O80" s="440">
        <v>17391</v>
      </c>
      <c r="P80" s="440">
        <v>17391</v>
      </c>
      <c r="Q80" s="440">
        <v>295308</v>
      </c>
      <c r="R80" s="440">
        <v>21860.160629999998</v>
      </c>
      <c r="S80" s="440">
        <v>0</v>
      </c>
      <c r="T80" s="440">
        <v>317168.16063</v>
      </c>
      <c r="U80" s="440">
        <v>0</v>
      </c>
      <c r="V80" s="440">
        <v>0</v>
      </c>
      <c r="W80" s="440">
        <v>21860.160629999998</v>
      </c>
      <c r="X80" s="440">
        <v>2340</v>
      </c>
      <c r="Y80" s="440">
        <v>0</v>
      </c>
      <c r="Z80" s="440">
        <v>292968</v>
      </c>
      <c r="AA80" s="440">
        <v>0</v>
      </c>
      <c r="AB80" s="440">
        <v>0</v>
      </c>
      <c r="AC80" s="440">
        <v>0</v>
      </c>
      <c r="AD80" s="440">
        <v>0</v>
      </c>
      <c r="AE80" s="440">
        <v>0</v>
      </c>
      <c r="AF80" s="440">
        <v>317168.16063</v>
      </c>
      <c r="AH80" s="269"/>
    </row>
    <row r="81" spans="1:34">
      <c r="A81" s="346" t="s">
        <v>1777</v>
      </c>
      <c r="B81" s="346">
        <v>73</v>
      </c>
      <c r="C81" s="346"/>
      <c r="D81" s="346"/>
      <c r="E81" s="346"/>
      <c r="F81" s="346"/>
      <c r="G81" s="346" t="s">
        <v>1919</v>
      </c>
      <c r="H81" s="346" t="s">
        <v>1861</v>
      </c>
      <c r="I81" s="346" t="s">
        <v>1907</v>
      </c>
      <c r="J81" s="346" t="s">
        <v>1857</v>
      </c>
      <c r="K81" s="346" t="s">
        <v>1852</v>
      </c>
      <c r="L81" s="346" t="s">
        <v>1864</v>
      </c>
      <c r="M81" s="346" t="s">
        <v>1913</v>
      </c>
      <c r="N81" s="440">
        <v>0</v>
      </c>
      <c r="O81" s="440">
        <v>2152</v>
      </c>
      <c r="P81" s="440">
        <v>2152</v>
      </c>
      <c r="Q81" s="440">
        <v>19166.719999999998</v>
      </c>
      <c r="R81" s="440">
        <v>0</v>
      </c>
      <c r="S81" s="440">
        <v>0</v>
      </c>
      <c r="T81" s="440">
        <v>19166.719999999998</v>
      </c>
      <c r="U81" s="440">
        <v>0</v>
      </c>
      <c r="V81" s="440">
        <v>0</v>
      </c>
      <c r="W81" s="440">
        <v>0</v>
      </c>
      <c r="X81" s="440">
        <v>0</v>
      </c>
      <c r="Y81" s="440">
        <v>0</v>
      </c>
      <c r="Z81" s="440">
        <v>0</v>
      </c>
      <c r="AA81" s="440">
        <v>0</v>
      </c>
      <c r="AB81" s="440">
        <v>0</v>
      </c>
      <c r="AC81" s="440">
        <v>0</v>
      </c>
      <c r="AD81" s="440">
        <v>0</v>
      </c>
      <c r="AE81" s="440">
        <v>0</v>
      </c>
      <c r="AF81" s="440">
        <v>0</v>
      </c>
      <c r="AH81" s="269"/>
    </row>
    <row r="82" spans="1:34">
      <c r="A82" s="346" t="s">
        <v>1777</v>
      </c>
      <c r="B82" s="346">
        <v>74</v>
      </c>
      <c r="C82" s="346"/>
      <c r="D82" s="346"/>
      <c r="E82" s="346"/>
      <c r="F82" s="346"/>
      <c r="G82" s="346" t="s">
        <v>1919</v>
      </c>
      <c r="H82" s="346" t="s">
        <v>1849</v>
      </c>
      <c r="I82" s="346" t="s">
        <v>1856</v>
      </c>
      <c r="J82" s="346" t="s">
        <v>1857</v>
      </c>
      <c r="K82" s="346" t="s">
        <v>1852</v>
      </c>
      <c r="L82" s="346" t="s">
        <v>1916</v>
      </c>
      <c r="M82" s="346" t="s">
        <v>1901</v>
      </c>
      <c r="N82" s="440">
        <v>0</v>
      </c>
      <c r="O82" s="440">
        <v>7815</v>
      </c>
      <c r="P82" s="440">
        <v>7815</v>
      </c>
      <c r="Q82" s="440">
        <v>0</v>
      </c>
      <c r="R82" s="440">
        <v>5528.2441543451141</v>
      </c>
      <c r="S82" s="440">
        <v>0</v>
      </c>
      <c r="T82" s="440">
        <v>5528.2441543451141</v>
      </c>
      <c r="U82" s="440">
        <v>0</v>
      </c>
      <c r="V82" s="440">
        <v>0</v>
      </c>
      <c r="W82" s="440">
        <v>5528.2441543451141</v>
      </c>
      <c r="X82" s="440">
        <v>0</v>
      </c>
      <c r="Y82" s="440">
        <v>0</v>
      </c>
      <c r="Z82" s="440">
        <v>0</v>
      </c>
      <c r="AA82" s="440">
        <v>0</v>
      </c>
      <c r="AB82" s="440">
        <v>0</v>
      </c>
      <c r="AC82" s="440">
        <v>0</v>
      </c>
      <c r="AD82" s="440">
        <v>0</v>
      </c>
      <c r="AE82" s="440">
        <v>0</v>
      </c>
      <c r="AF82" s="440">
        <v>5528.2441543451141</v>
      </c>
      <c r="AH82" s="269"/>
    </row>
    <row r="83" spans="1:34">
      <c r="A83" s="346" t="s">
        <v>1777</v>
      </c>
      <c r="B83" s="346">
        <v>75</v>
      </c>
      <c r="C83" s="346"/>
      <c r="D83" s="346"/>
      <c r="E83" s="346"/>
      <c r="F83" s="346"/>
      <c r="G83" s="346" t="s">
        <v>1919</v>
      </c>
      <c r="H83" s="346" t="s">
        <v>1856</v>
      </c>
      <c r="I83" s="346" t="s">
        <v>1849</v>
      </c>
      <c r="J83" s="346" t="s">
        <v>1857</v>
      </c>
      <c r="K83" s="346" t="s">
        <v>1852</v>
      </c>
      <c r="L83" s="346" t="s">
        <v>1901</v>
      </c>
      <c r="M83" s="346" t="s">
        <v>1916</v>
      </c>
      <c r="N83" s="440">
        <v>0</v>
      </c>
      <c r="O83" s="440">
        <v>1328</v>
      </c>
      <c r="P83" s="440">
        <v>1328</v>
      </c>
      <c r="Q83" s="440">
        <v>0</v>
      </c>
      <c r="R83" s="440">
        <v>12402.4201456549</v>
      </c>
      <c r="S83" s="440">
        <v>0</v>
      </c>
      <c r="T83" s="440">
        <v>12402.4201456549</v>
      </c>
      <c r="U83" s="440">
        <v>0</v>
      </c>
      <c r="V83" s="440">
        <v>0</v>
      </c>
      <c r="W83" s="440">
        <v>12402.4201456549</v>
      </c>
      <c r="X83" s="440">
        <v>0</v>
      </c>
      <c r="Y83" s="440">
        <v>0</v>
      </c>
      <c r="Z83" s="440">
        <v>0</v>
      </c>
      <c r="AA83" s="440">
        <v>0</v>
      </c>
      <c r="AB83" s="440">
        <v>0</v>
      </c>
      <c r="AC83" s="440">
        <v>0</v>
      </c>
      <c r="AD83" s="440">
        <v>0</v>
      </c>
      <c r="AE83" s="440">
        <v>0</v>
      </c>
      <c r="AF83" s="440">
        <v>12402.4201456549</v>
      </c>
      <c r="AH83" s="269"/>
    </row>
    <row r="84" spans="1:34">
      <c r="A84" s="346" t="s">
        <v>1777</v>
      </c>
      <c r="B84" s="346">
        <v>76</v>
      </c>
      <c r="C84" s="346"/>
      <c r="D84" s="346"/>
      <c r="E84" s="346"/>
      <c r="F84" s="346"/>
      <c r="G84" s="346" t="s">
        <v>1919</v>
      </c>
      <c r="H84" s="346" t="s">
        <v>1906</v>
      </c>
      <c r="I84" s="346" t="s">
        <v>1907</v>
      </c>
      <c r="J84" s="346" t="s">
        <v>1857</v>
      </c>
      <c r="K84" s="346" t="s">
        <v>1852</v>
      </c>
      <c r="L84" s="346" t="s">
        <v>1908</v>
      </c>
      <c r="M84" s="346" t="s">
        <v>1913</v>
      </c>
      <c r="N84" s="440">
        <v>0</v>
      </c>
      <c r="O84" s="440">
        <v>154</v>
      </c>
      <c r="P84" s="440">
        <v>154</v>
      </c>
      <c r="Q84" s="440">
        <v>1243.8599999999999</v>
      </c>
      <c r="R84" s="440">
        <v>199.26668000000001</v>
      </c>
      <c r="S84" s="440">
        <v>0</v>
      </c>
      <c r="T84" s="440">
        <v>1443.1266799999999</v>
      </c>
      <c r="U84" s="440">
        <v>0</v>
      </c>
      <c r="V84" s="440">
        <v>0</v>
      </c>
      <c r="W84" s="440">
        <v>199.26668000000001</v>
      </c>
      <c r="X84" s="440">
        <v>0</v>
      </c>
      <c r="Y84" s="440">
        <v>0</v>
      </c>
      <c r="Z84" s="440">
        <v>0</v>
      </c>
      <c r="AA84" s="440">
        <v>0</v>
      </c>
      <c r="AB84" s="440">
        <v>0</v>
      </c>
      <c r="AC84" s="440">
        <v>0</v>
      </c>
      <c r="AD84" s="440">
        <v>0</v>
      </c>
      <c r="AE84" s="440">
        <v>0</v>
      </c>
      <c r="AF84" s="440">
        <v>199.26668000000001</v>
      </c>
      <c r="AH84" s="269"/>
    </row>
    <row r="85" spans="1:34">
      <c r="A85" s="346" t="s">
        <v>1777</v>
      </c>
      <c r="B85" s="346">
        <v>77</v>
      </c>
      <c r="C85" s="346"/>
      <c r="D85" s="346"/>
      <c r="E85" s="346"/>
      <c r="F85" s="346"/>
      <c r="G85" s="346" t="s">
        <v>1919</v>
      </c>
      <c r="H85" s="346" t="s">
        <v>1865</v>
      </c>
      <c r="I85" s="346" t="s">
        <v>1849</v>
      </c>
      <c r="J85" s="346" t="s">
        <v>1857</v>
      </c>
      <c r="K85" s="346" t="s">
        <v>1852</v>
      </c>
      <c r="L85" s="346" t="s">
        <v>1866</v>
      </c>
      <c r="M85" s="346" t="s">
        <v>1902</v>
      </c>
      <c r="N85" s="440">
        <v>0</v>
      </c>
      <c r="O85" s="440">
        <v>510</v>
      </c>
      <c r="P85" s="440">
        <v>510</v>
      </c>
      <c r="Q85" s="440">
        <v>29408.36</v>
      </c>
      <c r="R85" s="440">
        <v>790.34567000000004</v>
      </c>
      <c r="S85" s="440">
        <v>0</v>
      </c>
      <c r="T85" s="440">
        <v>30198.705669999999</v>
      </c>
      <c r="U85" s="440">
        <v>0</v>
      </c>
      <c r="V85" s="440">
        <v>0</v>
      </c>
      <c r="W85" s="440">
        <v>790.34567000000004</v>
      </c>
      <c r="X85" s="440">
        <v>171.13</v>
      </c>
      <c r="Y85" s="440">
        <v>0</v>
      </c>
      <c r="Z85" s="440">
        <v>29237.229999999996</v>
      </c>
      <c r="AA85" s="440">
        <v>0</v>
      </c>
      <c r="AB85" s="440">
        <v>0</v>
      </c>
      <c r="AC85" s="440">
        <v>0</v>
      </c>
      <c r="AD85" s="440">
        <v>0</v>
      </c>
      <c r="AE85" s="440">
        <v>0</v>
      </c>
      <c r="AF85" s="440">
        <v>30198.705669999996</v>
      </c>
      <c r="AH85" s="269"/>
    </row>
    <row r="86" spans="1:34">
      <c r="A86" s="346" t="s">
        <v>1777</v>
      </c>
      <c r="B86" s="346">
        <v>78</v>
      </c>
      <c r="C86" s="346"/>
      <c r="D86" s="346"/>
      <c r="E86" s="346"/>
      <c r="F86" s="346"/>
      <c r="G86" s="346" t="s">
        <v>1919</v>
      </c>
      <c r="H86" s="346" t="s">
        <v>1861</v>
      </c>
      <c r="I86" s="346" t="s">
        <v>1849</v>
      </c>
      <c r="J86" s="346" t="s">
        <v>1857</v>
      </c>
      <c r="K86" s="346" t="s">
        <v>1852</v>
      </c>
      <c r="L86" s="346" t="s">
        <v>1864</v>
      </c>
      <c r="M86" s="346" t="s">
        <v>1889</v>
      </c>
      <c r="N86" s="440">
        <v>0</v>
      </c>
      <c r="O86" s="440">
        <v>1465</v>
      </c>
      <c r="P86" s="440">
        <v>1465</v>
      </c>
      <c r="Q86" s="440">
        <v>42931.17</v>
      </c>
      <c r="R86" s="440">
        <v>0</v>
      </c>
      <c r="S86" s="440">
        <v>0</v>
      </c>
      <c r="T86" s="440">
        <v>42931.17</v>
      </c>
      <c r="U86" s="440">
        <v>0</v>
      </c>
      <c r="V86" s="440">
        <v>0</v>
      </c>
      <c r="W86" s="440">
        <v>0</v>
      </c>
      <c r="X86" s="440">
        <v>357.61999999999995</v>
      </c>
      <c r="Y86" s="440">
        <v>0</v>
      </c>
      <c r="Z86" s="440">
        <v>61740.26999999999</v>
      </c>
      <c r="AA86" s="440">
        <v>0</v>
      </c>
      <c r="AB86" s="440">
        <v>0</v>
      </c>
      <c r="AC86" s="440">
        <v>0</v>
      </c>
      <c r="AD86" s="440">
        <v>0</v>
      </c>
      <c r="AE86" s="440">
        <v>0</v>
      </c>
      <c r="AF86" s="440">
        <v>62097.889999999992</v>
      </c>
      <c r="AH86" s="269"/>
    </row>
    <row r="87" spans="1:34">
      <c r="A87" s="346" t="s">
        <v>1777</v>
      </c>
      <c r="B87" s="346">
        <v>79</v>
      </c>
      <c r="C87" s="346"/>
      <c r="D87" s="346"/>
      <c r="E87" s="346"/>
      <c r="F87" s="346"/>
      <c r="G87" s="346" t="s">
        <v>1919</v>
      </c>
      <c r="H87" s="346" t="s">
        <v>1856</v>
      </c>
      <c r="I87" s="346" t="s">
        <v>1849</v>
      </c>
      <c r="J87" s="346" t="s">
        <v>1857</v>
      </c>
      <c r="K87" s="346" t="s">
        <v>1852</v>
      </c>
      <c r="L87" s="346" t="s">
        <v>1917</v>
      </c>
      <c r="M87" s="346" t="s">
        <v>1916</v>
      </c>
      <c r="N87" s="440">
        <v>0</v>
      </c>
      <c r="O87" s="440">
        <v>5657</v>
      </c>
      <c r="P87" s="440">
        <v>5657</v>
      </c>
      <c r="Q87" s="440">
        <v>15144</v>
      </c>
      <c r="R87" s="440">
        <v>0</v>
      </c>
      <c r="S87" s="440">
        <v>0</v>
      </c>
      <c r="T87" s="440">
        <v>15144</v>
      </c>
      <c r="U87" s="440">
        <v>0</v>
      </c>
      <c r="V87" s="440">
        <v>0</v>
      </c>
      <c r="W87" s="440">
        <v>0</v>
      </c>
      <c r="X87" s="440">
        <v>120</v>
      </c>
      <c r="Y87" s="440">
        <v>0</v>
      </c>
      <c r="Z87" s="440">
        <v>15024</v>
      </c>
      <c r="AA87" s="440">
        <v>0</v>
      </c>
      <c r="AB87" s="440">
        <v>0</v>
      </c>
      <c r="AC87" s="440">
        <v>0</v>
      </c>
      <c r="AD87" s="440">
        <v>0</v>
      </c>
      <c r="AE87" s="440">
        <v>0</v>
      </c>
      <c r="AF87" s="440">
        <v>15144</v>
      </c>
      <c r="AH87" s="269"/>
    </row>
    <row r="88" spans="1:34">
      <c r="A88" s="346" t="s">
        <v>1777</v>
      </c>
      <c r="B88" s="346">
        <v>80</v>
      </c>
      <c r="C88" s="346"/>
      <c r="D88" s="346"/>
      <c r="E88" s="346"/>
      <c r="F88" s="346"/>
      <c r="G88" s="346" t="s">
        <v>1919</v>
      </c>
      <c r="H88" s="346" t="s">
        <v>1906</v>
      </c>
      <c r="I88" s="346" t="s">
        <v>1907</v>
      </c>
      <c r="J88" s="346" t="s">
        <v>1857</v>
      </c>
      <c r="K88" s="346" t="s">
        <v>1852</v>
      </c>
      <c r="L88" s="346" t="s">
        <v>1908</v>
      </c>
      <c r="M88" s="346" t="s">
        <v>1909</v>
      </c>
      <c r="N88" s="440">
        <v>0</v>
      </c>
      <c r="O88" s="440">
        <v>0</v>
      </c>
      <c r="P88" s="440">
        <v>0</v>
      </c>
      <c r="Q88" s="440">
        <v>12228.58</v>
      </c>
      <c r="R88" s="440">
        <v>0</v>
      </c>
      <c r="S88" s="440">
        <v>0</v>
      </c>
      <c r="T88" s="440">
        <v>12228.58</v>
      </c>
      <c r="U88" s="440">
        <v>0</v>
      </c>
      <c r="V88" s="440">
        <v>0</v>
      </c>
      <c r="W88" s="440">
        <v>0</v>
      </c>
      <c r="X88" s="440">
        <v>78.399999999999991</v>
      </c>
      <c r="Y88" s="440">
        <v>0</v>
      </c>
      <c r="Z88" s="440">
        <v>13394.039999999997</v>
      </c>
      <c r="AA88" s="440">
        <v>0</v>
      </c>
      <c r="AB88" s="440">
        <v>0</v>
      </c>
      <c r="AC88" s="440">
        <v>0</v>
      </c>
      <c r="AD88" s="440">
        <v>0</v>
      </c>
      <c r="AE88" s="440">
        <v>0</v>
      </c>
      <c r="AF88" s="440">
        <v>13472.439999999997</v>
      </c>
      <c r="AH88" s="269"/>
    </row>
    <row r="89" spans="1:34">
      <c r="A89" s="346" t="s">
        <v>1777</v>
      </c>
      <c r="B89" s="346">
        <v>81</v>
      </c>
      <c r="C89" s="346"/>
      <c r="D89" s="346"/>
      <c r="E89" s="346"/>
      <c r="F89" s="346"/>
      <c r="G89" s="346" t="s">
        <v>1919</v>
      </c>
      <c r="H89" s="346" t="s">
        <v>1850</v>
      </c>
      <c r="I89" s="346" t="s">
        <v>1849</v>
      </c>
      <c r="J89" s="346" t="s">
        <v>1857</v>
      </c>
      <c r="K89" s="346" t="s">
        <v>1852</v>
      </c>
      <c r="L89" s="346" t="s">
        <v>1868</v>
      </c>
      <c r="M89" s="346" t="s">
        <v>1889</v>
      </c>
      <c r="N89" s="440">
        <v>0</v>
      </c>
      <c r="O89" s="440">
        <v>0</v>
      </c>
      <c r="P89" s="440">
        <v>0</v>
      </c>
      <c r="Q89" s="440">
        <v>0</v>
      </c>
      <c r="R89" s="440">
        <v>64.16</v>
      </c>
      <c r="S89" s="440">
        <v>0</v>
      </c>
      <c r="T89" s="440">
        <v>64.16</v>
      </c>
      <c r="U89" s="440">
        <v>0</v>
      </c>
      <c r="V89" s="440">
        <v>0</v>
      </c>
      <c r="W89" s="440">
        <v>64.16</v>
      </c>
      <c r="X89" s="440">
        <v>0</v>
      </c>
      <c r="Y89" s="440">
        <v>0</v>
      </c>
      <c r="Z89" s="440">
        <v>0</v>
      </c>
      <c r="AA89" s="440">
        <v>0</v>
      </c>
      <c r="AB89" s="440">
        <v>0</v>
      </c>
      <c r="AC89" s="440">
        <v>0</v>
      </c>
      <c r="AD89" s="440">
        <v>0</v>
      </c>
      <c r="AE89" s="440">
        <v>0</v>
      </c>
      <c r="AF89" s="440">
        <v>64.16</v>
      </c>
      <c r="AH89" s="269"/>
    </row>
    <row r="90" spans="1:34">
      <c r="A90" s="346" t="s">
        <v>1777</v>
      </c>
      <c r="B90" s="346">
        <v>82</v>
      </c>
      <c r="C90" s="346"/>
      <c r="D90" s="346"/>
      <c r="E90" s="346"/>
      <c r="F90" s="346"/>
      <c r="G90" s="346" t="s">
        <v>1919</v>
      </c>
      <c r="H90" s="346" t="s">
        <v>1861</v>
      </c>
      <c r="I90" s="346" t="s">
        <v>1861</v>
      </c>
      <c r="J90" s="346" t="s">
        <v>1857</v>
      </c>
      <c r="K90" s="346" t="s">
        <v>1852</v>
      </c>
      <c r="L90" s="346" t="s">
        <v>1864</v>
      </c>
      <c r="M90" s="346" t="s">
        <v>1864</v>
      </c>
      <c r="N90" s="440">
        <v>0</v>
      </c>
      <c r="O90" s="440">
        <v>0</v>
      </c>
      <c r="P90" s="440">
        <v>0</v>
      </c>
      <c r="Q90" s="440">
        <v>0</v>
      </c>
      <c r="R90" s="440">
        <v>0</v>
      </c>
      <c r="S90" s="440">
        <v>0</v>
      </c>
      <c r="T90" s="440">
        <v>0</v>
      </c>
      <c r="U90" s="440">
        <v>0</v>
      </c>
      <c r="V90" s="440">
        <v>0</v>
      </c>
      <c r="W90" s="440">
        <v>0</v>
      </c>
      <c r="X90" s="440">
        <v>0</v>
      </c>
      <c r="Y90" s="440">
        <v>0</v>
      </c>
      <c r="Z90" s="440">
        <v>0</v>
      </c>
      <c r="AA90" s="440">
        <v>0</v>
      </c>
      <c r="AB90" s="440">
        <v>0</v>
      </c>
      <c r="AC90" s="440">
        <v>0</v>
      </c>
      <c r="AD90" s="440">
        <v>0</v>
      </c>
      <c r="AE90" s="440">
        <v>0</v>
      </c>
      <c r="AF90" s="440">
        <v>0</v>
      </c>
      <c r="AH90" s="269"/>
    </row>
    <row r="91" spans="1:34">
      <c r="A91" s="346" t="s">
        <v>1777</v>
      </c>
      <c r="B91" s="346">
        <v>83</v>
      </c>
      <c r="C91" s="346"/>
      <c r="D91" s="346"/>
      <c r="E91" s="346"/>
      <c r="F91" s="346"/>
      <c r="G91" s="346" t="s">
        <v>1919</v>
      </c>
      <c r="H91" s="346" t="s">
        <v>1849</v>
      </c>
      <c r="I91" s="346" t="s">
        <v>1849</v>
      </c>
      <c r="J91" s="346" t="s">
        <v>1857</v>
      </c>
      <c r="K91" s="346" t="s">
        <v>1852</v>
      </c>
      <c r="L91" s="346" t="s">
        <v>1902</v>
      </c>
      <c r="M91" s="346" t="s">
        <v>1902</v>
      </c>
      <c r="N91" s="440">
        <v>0</v>
      </c>
      <c r="O91" s="440">
        <v>0</v>
      </c>
      <c r="P91" s="440">
        <v>0</v>
      </c>
      <c r="Q91" s="440">
        <v>18299.23</v>
      </c>
      <c r="R91" s="440">
        <v>3195.65</v>
      </c>
      <c r="S91" s="440">
        <v>0</v>
      </c>
      <c r="T91" s="440">
        <v>21494.880000000001</v>
      </c>
      <c r="U91" s="440">
        <v>0</v>
      </c>
      <c r="V91" s="440">
        <v>0</v>
      </c>
      <c r="W91" s="440">
        <v>3195.65</v>
      </c>
      <c r="X91" s="440">
        <v>0</v>
      </c>
      <c r="Y91" s="440">
        <v>0</v>
      </c>
      <c r="Z91" s="440">
        <v>0</v>
      </c>
      <c r="AA91" s="440">
        <v>0</v>
      </c>
      <c r="AB91" s="440">
        <v>0</v>
      </c>
      <c r="AC91" s="440">
        <v>0</v>
      </c>
      <c r="AD91" s="440">
        <v>0</v>
      </c>
      <c r="AE91" s="440">
        <v>0</v>
      </c>
      <c r="AF91" s="440">
        <v>3195.65</v>
      </c>
      <c r="AH91" s="269"/>
    </row>
    <row r="92" spans="1:34">
      <c r="A92" s="346" t="s">
        <v>1777</v>
      </c>
      <c r="B92" s="346">
        <v>84</v>
      </c>
      <c r="C92" s="346"/>
      <c r="D92" s="346"/>
      <c r="E92" s="346"/>
      <c r="F92" s="346"/>
      <c r="G92" s="346" t="s">
        <v>1919</v>
      </c>
      <c r="H92" s="346" t="s">
        <v>1856</v>
      </c>
      <c r="I92" s="346" t="s">
        <v>1861</v>
      </c>
      <c r="J92" s="346" t="s">
        <v>1857</v>
      </c>
      <c r="K92" s="346" t="s">
        <v>1852</v>
      </c>
      <c r="L92" s="346" t="s">
        <v>1917</v>
      </c>
      <c r="M92" s="346" t="s">
        <v>1864</v>
      </c>
      <c r="N92" s="440">
        <v>0</v>
      </c>
      <c r="O92" s="440">
        <v>4498</v>
      </c>
      <c r="P92" s="440">
        <v>4498</v>
      </c>
      <c r="Q92" s="440">
        <v>0</v>
      </c>
      <c r="R92" s="440">
        <v>0</v>
      </c>
      <c r="S92" s="440">
        <v>0</v>
      </c>
      <c r="T92" s="440">
        <v>0</v>
      </c>
      <c r="U92" s="440">
        <v>0</v>
      </c>
      <c r="V92" s="440">
        <v>0</v>
      </c>
      <c r="W92" s="440">
        <v>0</v>
      </c>
      <c r="X92" s="440">
        <v>0</v>
      </c>
      <c r="Y92" s="440">
        <v>0</v>
      </c>
      <c r="Z92" s="440">
        <v>0</v>
      </c>
      <c r="AA92" s="440">
        <v>0</v>
      </c>
      <c r="AB92" s="440">
        <v>0</v>
      </c>
      <c r="AC92" s="440">
        <v>0</v>
      </c>
      <c r="AD92" s="440">
        <v>0</v>
      </c>
      <c r="AE92" s="440">
        <v>0</v>
      </c>
      <c r="AF92" s="440">
        <v>0</v>
      </c>
      <c r="AH92" s="269"/>
    </row>
    <row r="93" spans="1:34">
      <c r="A93" s="346" t="s">
        <v>1777</v>
      </c>
      <c r="B93" s="346">
        <v>85</v>
      </c>
      <c r="C93" s="346"/>
      <c r="D93" s="346"/>
      <c r="E93" s="346"/>
      <c r="F93" s="346"/>
      <c r="G93" s="346" t="s">
        <v>1920</v>
      </c>
      <c r="H93" s="346" t="s">
        <v>1856</v>
      </c>
      <c r="I93" s="346" t="s">
        <v>1861</v>
      </c>
      <c r="J93" s="346" t="s">
        <v>1862</v>
      </c>
      <c r="K93" s="346" t="s">
        <v>1852</v>
      </c>
      <c r="L93" s="346" t="s">
        <v>1863</v>
      </c>
      <c r="M93" s="346" t="s">
        <v>1864</v>
      </c>
      <c r="N93" s="440">
        <v>200</v>
      </c>
      <c r="O93" s="440">
        <v>211958</v>
      </c>
      <c r="P93" s="440">
        <v>211958</v>
      </c>
      <c r="Q93" s="440">
        <v>7160166.6533333333</v>
      </c>
      <c r="R93" s="440">
        <v>545473.99</v>
      </c>
      <c r="S93" s="440">
        <v>0</v>
      </c>
      <c r="T93" s="440">
        <v>7705640.6433333335</v>
      </c>
      <c r="U93" s="440">
        <v>7082333.3433333337</v>
      </c>
      <c r="V93" s="440">
        <v>0</v>
      </c>
      <c r="W93" s="440">
        <v>545473.99</v>
      </c>
      <c r="X93" s="440">
        <v>77833.310000000012</v>
      </c>
      <c r="Y93" s="440">
        <v>0</v>
      </c>
      <c r="Z93" s="440">
        <v>0</v>
      </c>
      <c r="AA93" s="440">
        <v>0</v>
      </c>
      <c r="AB93" s="440">
        <v>0</v>
      </c>
      <c r="AC93" s="440">
        <v>0</v>
      </c>
      <c r="AD93" s="440">
        <v>0</v>
      </c>
      <c r="AE93" s="440">
        <v>0</v>
      </c>
      <c r="AF93" s="440">
        <v>7705640.6433333335</v>
      </c>
      <c r="AH93" s="269"/>
    </row>
    <row r="94" spans="1:34">
      <c r="A94" s="346" t="s">
        <v>1777</v>
      </c>
      <c r="B94" s="346">
        <v>86</v>
      </c>
      <c r="C94" s="346"/>
      <c r="D94" s="346"/>
      <c r="E94" s="346"/>
      <c r="F94" s="346"/>
      <c r="G94" s="346" t="s">
        <v>1920</v>
      </c>
      <c r="H94" s="346" t="s">
        <v>1865</v>
      </c>
      <c r="I94" s="346" t="s">
        <v>1861</v>
      </c>
      <c r="J94" s="346" t="s">
        <v>1862</v>
      </c>
      <c r="K94" s="346" t="s">
        <v>1852</v>
      </c>
      <c r="L94" s="346" t="s">
        <v>1866</v>
      </c>
      <c r="M94" s="346" t="s">
        <v>1864</v>
      </c>
      <c r="N94" s="440">
        <v>0</v>
      </c>
      <c r="O94" s="440">
        <v>0</v>
      </c>
      <c r="P94" s="440">
        <v>0</v>
      </c>
      <c r="Q94" s="440">
        <v>1515933.3266666667</v>
      </c>
      <c r="R94" s="440">
        <v>92457.53</v>
      </c>
      <c r="S94" s="440">
        <v>0</v>
      </c>
      <c r="T94" s="440">
        <v>1608390.8566666667</v>
      </c>
      <c r="U94" s="440">
        <v>1515933.3266666667</v>
      </c>
      <c r="V94" s="440">
        <v>0</v>
      </c>
      <c r="W94" s="440">
        <v>92457.53</v>
      </c>
      <c r="X94" s="440">
        <v>0</v>
      </c>
      <c r="Y94" s="440">
        <v>0</v>
      </c>
      <c r="Z94" s="440">
        <v>0</v>
      </c>
      <c r="AA94" s="440">
        <v>0</v>
      </c>
      <c r="AB94" s="440">
        <v>0</v>
      </c>
      <c r="AC94" s="440">
        <v>0</v>
      </c>
      <c r="AD94" s="440">
        <v>0</v>
      </c>
      <c r="AE94" s="440">
        <v>0</v>
      </c>
      <c r="AF94" s="440">
        <v>1608390.8566666667</v>
      </c>
      <c r="AH94" s="269"/>
    </row>
    <row r="95" spans="1:34">
      <c r="A95" s="346" t="s">
        <v>1777</v>
      </c>
      <c r="B95" s="346">
        <v>87</v>
      </c>
      <c r="C95" s="346"/>
      <c r="D95" s="346"/>
      <c r="E95" s="346"/>
      <c r="F95" s="346"/>
      <c r="G95" s="346" t="s">
        <v>1921</v>
      </c>
      <c r="H95" s="346" t="s">
        <v>1856</v>
      </c>
      <c r="I95" s="346" t="s">
        <v>1861</v>
      </c>
      <c r="J95" s="346" t="s">
        <v>1857</v>
      </c>
      <c r="K95" s="346" t="s">
        <v>1852</v>
      </c>
      <c r="L95" s="346" t="s">
        <v>1874</v>
      </c>
      <c r="M95" s="346" t="s">
        <v>1864</v>
      </c>
      <c r="N95" s="440">
        <v>0</v>
      </c>
      <c r="O95" s="440">
        <v>0</v>
      </c>
      <c r="P95" s="440">
        <v>0</v>
      </c>
      <c r="Q95" s="440">
        <v>0</v>
      </c>
      <c r="R95" s="440">
        <v>0</v>
      </c>
      <c r="S95" s="440">
        <v>0</v>
      </c>
      <c r="T95" s="440">
        <v>0</v>
      </c>
      <c r="U95" s="440">
        <v>0</v>
      </c>
      <c r="V95" s="440">
        <v>0</v>
      </c>
      <c r="W95" s="440">
        <v>0</v>
      </c>
      <c r="X95" s="440">
        <v>0</v>
      </c>
      <c r="Y95" s="440">
        <v>0</v>
      </c>
      <c r="Z95" s="440">
        <v>0</v>
      </c>
      <c r="AA95" s="440">
        <v>0</v>
      </c>
      <c r="AB95" s="440">
        <v>0</v>
      </c>
      <c r="AC95" s="440">
        <v>0</v>
      </c>
      <c r="AD95" s="440">
        <v>0</v>
      </c>
      <c r="AE95" s="440">
        <v>0</v>
      </c>
      <c r="AF95" s="440">
        <v>0</v>
      </c>
      <c r="AH95" s="269"/>
    </row>
    <row r="96" spans="1:34">
      <c r="A96" s="346" t="s">
        <v>1777</v>
      </c>
      <c r="B96" s="346">
        <v>88</v>
      </c>
      <c r="C96" s="346"/>
      <c r="D96" s="346"/>
      <c r="E96" s="346"/>
      <c r="F96" s="346"/>
      <c r="G96" s="346" t="s">
        <v>1921</v>
      </c>
      <c r="H96" s="346" t="s">
        <v>1850</v>
      </c>
      <c r="I96" s="346" t="s">
        <v>1861</v>
      </c>
      <c r="J96" s="346" t="s">
        <v>1857</v>
      </c>
      <c r="K96" s="346" t="s">
        <v>1852</v>
      </c>
      <c r="L96" s="346" t="s">
        <v>1868</v>
      </c>
      <c r="M96" s="346" t="s">
        <v>1864</v>
      </c>
      <c r="N96" s="440">
        <v>0</v>
      </c>
      <c r="O96" s="440">
        <v>0</v>
      </c>
      <c r="P96" s="440">
        <v>0</v>
      </c>
      <c r="Q96" s="440">
        <v>0</v>
      </c>
      <c r="R96" s="440">
        <v>0</v>
      </c>
      <c r="S96" s="440">
        <v>0</v>
      </c>
      <c r="T96" s="440">
        <v>0</v>
      </c>
      <c r="U96" s="440">
        <v>0</v>
      </c>
      <c r="V96" s="440">
        <v>0</v>
      </c>
      <c r="W96" s="440">
        <v>0</v>
      </c>
      <c r="X96" s="440">
        <v>0</v>
      </c>
      <c r="Y96" s="440">
        <v>0</v>
      </c>
      <c r="Z96" s="440">
        <v>0</v>
      </c>
      <c r="AA96" s="440">
        <v>0</v>
      </c>
      <c r="AB96" s="440">
        <v>0</v>
      </c>
      <c r="AC96" s="440">
        <v>0</v>
      </c>
      <c r="AD96" s="440">
        <v>0</v>
      </c>
      <c r="AE96" s="440">
        <v>0</v>
      </c>
      <c r="AF96" s="440">
        <v>0</v>
      </c>
      <c r="AH96" s="269"/>
    </row>
    <row r="97" spans="1:34">
      <c r="A97" s="346" t="s">
        <v>1777</v>
      </c>
      <c r="B97" s="346">
        <v>89</v>
      </c>
      <c r="C97" s="346"/>
      <c r="D97" s="346"/>
      <c r="E97" s="346"/>
      <c r="F97" s="346"/>
      <c r="G97" s="346" t="s">
        <v>1922</v>
      </c>
      <c r="H97" s="346" t="s">
        <v>1856</v>
      </c>
      <c r="I97" s="346" t="s">
        <v>1856</v>
      </c>
      <c r="J97" s="346" t="s">
        <v>1862</v>
      </c>
      <c r="K97" s="346" t="s">
        <v>1852</v>
      </c>
      <c r="L97" s="346" t="s">
        <v>1904</v>
      </c>
      <c r="M97" s="346" t="s">
        <v>1858</v>
      </c>
      <c r="N97" s="440">
        <v>26</v>
      </c>
      <c r="O97" s="440">
        <v>27663</v>
      </c>
      <c r="P97" s="440">
        <v>27663</v>
      </c>
      <c r="Q97" s="440">
        <v>865006.98000000033</v>
      </c>
      <c r="R97" s="440">
        <v>14857.16367</v>
      </c>
      <c r="S97" s="440">
        <v>0</v>
      </c>
      <c r="T97" s="440">
        <v>879864.14367000037</v>
      </c>
      <c r="U97" s="440">
        <v>857228.67000000027</v>
      </c>
      <c r="V97" s="440">
        <v>0</v>
      </c>
      <c r="W97" s="440">
        <v>14857.16367</v>
      </c>
      <c r="X97" s="440">
        <v>7778.3099999999995</v>
      </c>
      <c r="Y97" s="440">
        <v>0</v>
      </c>
      <c r="Z97" s="440">
        <v>0</v>
      </c>
      <c r="AA97" s="440">
        <v>0</v>
      </c>
      <c r="AB97" s="440">
        <v>0</v>
      </c>
      <c r="AC97" s="440">
        <v>0</v>
      </c>
      <c r="AD97" s="440">
        <v>0</v>
      </c>
      <c r="AE97" s="440">
        <v>0</v>
      </c>
      <c r="AF97" s="440">
        <v>879864.14367000037</v>
      </c>
      <c r="AH97" s="269"/>
    </row>
    <row r="98" spans="1:34">
      <c r="A98" s="346" t="s">
        <v>1777</v>
      </c>
      <c r="B98" s="346">
        <v>90</v>
      </c>
      <c r="C98" s="346"/>
      <c r="D98" s="346"/>
      <c r="E98" s="346"/>
      <c r="F98" s="346"/>
      <c r="G98" s="346" t="s">
        <v>1923</v>
      </c>
      <c r="H98" s="346" t="s">
        <v>1861</v>
      </c>
      <c r="I98" s="346" t="s">
        <v>1856</v>
      </c>
      <c r="J98" s="346" t="s">
        <v>1851</v>
      </c>
      <c r="K98" s="346" t="s">
        <v>1852</v>
      </c>
      <c r="L98" s="346" t="s">
        <v>1864</v>
      </c>
      <c r="M98" s="346" t="s">
        <v>1904</v>
      </c>
      <c r="N98" s="440">
        <v>0</v>
      </c>
      <c r="O98" s="440">
        <v>3947</v>
      </c>
      <c r="P98" s="440">
        <v>3947</v>
      </c>
      <c r="Q98" s="440">
        <v>1811.79</v>
      </c>
      <c r="R98" s="440">
        <v>6036.2403999999997</v>
      </c>
      <c r="S98" s="440">
        <v>0</v>
      </c>
      <c r="T98" s="440">
        <v>7848.0303999999996</v>
      </c>
      <c r="U98" s="440">
        <v>0</v>
      </c>
      <c r="V98" s="440">
        <v>0</v>
      </c>
      <c r="W98" s="440">
        <v>6036.2403999999997</v>
      </c>
      <c r="X98" s="440">
        <v>10.25</v>
      </c>
      <c r="Y98" s="440">
        <v>0</v>
      </c>
      <c r="Z98" s="440">
        <v>0</v>
      </c>
      <c r="AA98" s="440">
        <v>1801.54</v>
      </c>
      <c r="AB98" s="440">
        <v>0</v>
      </c>
      <c r="AC98" s="440">
        <v>0</v>
      </c>
      <c r="AD98" s="440">
        <v>0</v>
      </c>
      <c r="AE98" s="440">
        <v>0</v>
      </c>
      <c r="AF98" s="440">
        <v>7848.0303999999996</v>
      </c>
      <c r="AH98" s="269"/>
    </row>
    <row r="99" spans="1:34">
      <c r="A99" s="346" t="s">
        <v>1777</v>
      </c>
      <c r="B99" s="346">
        <v>91</v>
      </c>
      <c r="C99" s="346"/>
      <c r="D99" s="346"/>
      <c r="E99" s="346"/>
      <c r="F99" s="346"/>
      <c r="G99" s="346" t="s">
        <v>1923</v>
      </c>
      <c r="H99" s="346" t="s">
        <v>1907</v>
      </c>
      <c r="I99" s="346" t="s">
        <v>1850</v>
      </c>
      <c r="J99" s="346" t="s">
        <v>1851</v>
      </c>
      <c r="K99" s="346" t="s">
        <v>1852</v>
      </c>
      <c r="L99" s="346" t="s">
        <v>1913</v>
      </c>
      <c r="M99" s="346" t="s">
        <v>1868</v>
      </c>
      <c r="N99" s="440">
        <v>0</v>
      </c>
      <c r="O99" s="440">
        <v>1</v>
      </c>
      <c r="P99" s="440">
        <v>1</v>
      </c>
      <c r="Q99" s="440">
        <v>0</v>
      </c>
      <c r="R99" s="440">
        <v>0.81150999999999995</v>
      </c>
      <c r="S99" s="440">
        <v>0</v>
      </c>
      <c r="T99" s="440">
        <v>0.81150999999999995</v>
      </c>
      <c r="U99" s="440">
        <v>0</v>
      </c>
      <c r="V99" s="440">
        <v>0</v>
      </c>
      <c r="W99" s="440">
        <v>0.81150999999999995</v>
      </c>
      <c r="X99" s="440">
        <v>0</v>
      </c>
      <c r="Y99" s="440">
        <v>0</v>
      </c>
      <c r="Z99" s="440">
        <v>0</v>
      </c>
      <c r="AA99" s="440">
        <v>0</v>
      </c>
      <c r="AB99" s="440">
        <v>0</v>
      </c>
      <c r="AC99" s="440">
        <v>0</v>
      </c>
      <c r="AD99" s="440">
        <v>0</v>
      </c>
      <c r="AE99" s="440">
        <v>0</v>
      </c>
      <c r="AF99" s="440">
        <v>0.81150999999999995</v>
      </c>
      <c r="AH99" s="269"/>
    </row>
    <row r="100" spans="1:34">
      <c r="A100" s="346" t="s">
        <v>1777</v>
      </c>
      <c r="B100" s="346">
        <v>92</v>
      </c>
      <c r="C100" s="346"/>
      <c r="D100" s="346"/>
      <c r="E100" s="346"/>
      <c r="F100" s="346"/>
      <c r="G100" s="346" t="s">
        <v>1923</v>
      </c>
      <c r="H100" s="346" t="s">
        <v>1856</v>
      </c>
      <c r="I100" s="346" t="s">
        <v>1856</v>
      </c>
      <c r="J100" s="346" t="s">
        <v>1851</v>
      </c>
      <c r="K100" s="346" t="s">
        <v>1852</v>
      </c>
      <c r="L100" s="346" t="s">
        <v>1904</v>
      </c>
      <c r="M100" s="346" t="s">
        <v>1858</v>
      </c>
      <c r="N100" s="440">
        <v>0</v>
      </c>
      <c r="O100" s="440">
        <v>0</v>
      </c>
      <c r="P100" s="440">
        <v>0</v>
      </c>
      <c r="Q100" s="440">
        <v>193.84999999999997</v>
      </c>
      <c r="R100" s="440">
        <v>8311.7561299999998</v>
      </c>
      <c r="S100" s="440">
        <v>0</v>
      </c>
      <c r="T100" s="440">
        <v>8505.6061300000001</v>
      </c>
      <c r="U100" s="440">
        <v>0</v>
      </c>
      <c r="V100" s="440">
        <v>0</v>
      </c>
      <c r="W100" s="440">
        <v>8311.7561299999998</v>
      </c>
      <c r="X100" s="440">
        <v>1.1299999999999999</v>
      </c>
      <c r="Y100" s="440">
        <v>0</v>
      </c>
      <c r="Z100" s="440">
        <v>0</v>
      </c>
      <c r="AA100" s="440">
        <v>192.71999999999997</v>
      </c>
      <c r="AB100" s="440">
        <v>0</v>
      </c>
      <c r="AC100" s="440">
        <v>0</v>
      </c>
      <c r="AD100" s="440">
        <v>0</v>
      </c>
      <c r="AE100" s="440">
        <v>0</v>
      </c>
      <c r="AF100" s="440">
        <v>8505.6061299999983</v>
      </c>
      <c r="AH100" s="269"/>
    </row>
    <row r="101" spans="1:34">
      <c r="A101" s="346" t="s">
        <v>1777</v>
      </c>
      <c r="B101" s="346">
        <v>93</v>
      </c>
      <c r="C101" s="346"/>
      <c r="D101" s="346"/>
      <c r="E101" s="346"/>
      <c r="F101" s="346"/>
      <c r="G101" s="346" t="s">
        <v>1923</v>
      </c>
      <c r="H101" s="346" t="s">
        <v>1850</v>
      </c>
      <c r="I101" s="346" t="s">
        <v>1861</v>
      </c>
      <c r="J101" s="346" t="s">
        <v>1851</v>
      </c>
      <c r="K101" s="346" t="s">
        <v>1852</v>
      </c>
      <c r="L101" s="346" t="s">
        <v>1868</v>
      </c>
      <c r="M101" s="346" t="s">
        <v>1864</v>
      </c>
      <c r="N101" s="440">
        <v>0</v>
      </c>
      <c r="O101" s="440">
        <v>187</v>
      </c>
      <c r="P101" s="440">
        <v>187</v>
      </c>
      <c r="Q101" s="440">
        <v>0</v>
      </c>
      <c r="R101" s="440">
        <v>2503.65679</v>
      </c>
      <c r="S101" s="440">
        <v>0</v>
      </c>
      <c r="T101" s="440">
        <v>2503.65679</v>
      </c>
      <c r="U101" s="440">
        <v>0</v>
      </c>
      <c r="V101" s="440">
        <v>0</v>
      </c>
      <c r="W101" s="440">
        <v>2503.65679</v>
      </c>
      <c r="X101" s="440">
        <v>0</v>
      </c>
      <c r="Y101" s="440">
        <v>0</v>
      </c>
      <c r="Z101" s="440">
        <v>0</v>
      </c>
      <c r="AA101" s="440">
        <v>0</v>
      </c>
      <c r="AB101" s="440">
        <v>0</v>
      </c>
      <c r="AC101" s="440">
        <v>0</v>
      </c>
      <c r="AD101" s="440">
        <v>0</v>
      </c>
      <c r="AE101" s="440">
        <v>0</v>
      </c>
      <c r="AF101" s="440">
        <v>2503.65679</v>
      </c>
      <c r="AH101" s="269"/>
    </row>
    <row r="102" spans="1:34">
      <c r="A102" s="346" t="s">
        <v>1777</v>
      </c>
      <c r="B102" s="346">
        <v>94</v>
      </c>
      <c r="C102" s="346"/>
      <c r="D102" s="346"/>
      <c r="E102" s="346"/>
      <c r="F102" s="346"/>
      <c r="G102" s="346" t="s">
        <v>1923</v>
      </c>
      <c r="H102" s="346" t="s">
        <v>1856</v>
      </c>
      <c r="I102" s="346" t="s">
        <v>1856</v>
      </c>
      <c r="J102" s="346" t="s">
        <v>1851</v>
      </c>
      <c r="K102" s="346" t="s">
        <v>1852</v>
      </c>
      <c r="L102" s="346" t="s">
        <v>1858</v>
      </c>
      <c r="M102" s="346" t="s">
        <v>1924</v>
      </c>
      <c r="N102" s="440">
        <v>0</v>
      </c>
      <c r="O102" s="440">
        <v>1</v>
      </c>
      <c r="P102" s="440">
        <v>1</v>
      </c>
      <c r="Q102" s="440">
        <v>8.08</v>
      </c>
      <c r="R102" s="440">
        <v>0</v>
      </c>
      <c r="S102" s="440">
        <v>0</v>
      </c>
      <c r="T102" s="440">
        <v>8.08</v>
      </c>
      <c r="U102" s="440">
        <v>0</v>
      </c>
      <c r="V102" s="440">
        <v>0</v>
      </c>
      <c r="W102" s="440">
        <v>0</v>
      </c>
      <c r="X102" s="440">
        <v>0.05</v>
      </c>
      <c r="Y102" s="440">
        <v>0</v>
      </c>
      <c r="Z102" s="440">
        <v>0</v>
      </c>
      <c r="AA102" s="440">
        <v>8.0299999999999994</v>
      </c>
      <c r="AB102" s="440">
        <v>0</v>
      </c>
      <c r="AC102" s="440">
        <v>0</v>
      </c>
      <c r="AD102" s="440">
        <v>0</v>
      </c>
      <c r="AE102" s="440">
        <v>0</v>
      </c>
      <c r="AF102" s="440">
        <v>8.08</v>
      </c>
      <c r="AH102" s="269"/>
    </row>
    <row r="103" spans="1:34">
      <c r="A103" s="346" t="s">
        <v>1777</v>
      </c>
      <c r="B103" s="346">
        <v>95</v>
      </c>
      <c r="C103" s="346"/>
      <c r="D103" s="346"/>
      <c r="E103" s="346"/>
      <c r="F103" s="346"/>
      <c r="G103" s="346" t="s">
        <v>1923</v>
      </c>
      <c r="H103" s="346" t="s">
        <v>1850</v>
      </c>
      <c r="I103" s="346" t="s">
        <v>1849</v>
      </c>
      <c r="J103" s="346" t="s">
        <v>1851</v>
      </c>
      <c r="K103" s="346" t="s">
        <v>1852</v>
      </c>
      <c r="L103" s="346" t="s">
        <v>1854</v>
      </c>
      <c r="M103" s="346" t="s">
        <v>1853</v>
      </c>
      <c r="N103" s="440">
        <v>0</v>
      </c>
      <c r="O103" s="440">
        <v>22188</v>
      </c>
      <c r="P103" s="440">
        <v>22188</v>
      </c>
      <c r="Q103" s="440">
        <v>166584</v>
      </c>
      <c r="R103" s="440">
        <v>17137.553469999999</v>
      </c>
      <c r="S103" s="440">
        <v>0</v>
      </c>
      <c r="T103" s="440">
        <v>183721.55346999998</v>
      </c>
      <c r="U103" s="440">
        <v>0</v>
      </c>
      <c r="V103" s="440">
        <v>0</v>
      </c>
      <c r="W103" s="440">
        <v>17137.553469999999</v>
      </c>
      <c r="X103" s="440">
        <v>1320</v>
      </c>
      <c r="Y103" s="440">
        <v>0</v>
      </c>
      <c r="Z103" s="440">
        <v>0</v>
      </c>
      <c r="AA103" s="440">
        <v>165264</v>
      </c>
      <c r="AB103" s="440">
        <v>0</v>
      </c>
      <c r="AC103" s="440">
        <v>0</v>
      </c>
      <c r="AD103" s="440">
        <v>0</v>
      </c>
      <c r="AE103" s="440">
        <v>0</v>
      </c>
      <c r="AF103" s="440">
        <v>183721.55346999998</v>
      </c>
      <c r="AH103" s="269"/>
    </row>
    <row r="104" spans="1:34">
      <c r="A104" s="346" t="s">
        <v>1777</v>
      </c>
      <c r="B104" s="346">
        <v>96</v>
      </c>
      <c r="C104" s="346"/>
      <c r="D104" s="346"/>
      <c r="E104" s="346"/>
      <c r="F104" s="346"/>
      <c r="G104" s="346" t="s">
        <v>1925</v>
      </c>
      <c r="H104" s="346" t="s">
        <v>1861</v>
      </c>
      <c r="I104" s="346" t="s">
        <v>1856</v>
      </c>
      <c r="J104" s="346" t="s">
        <v>1857</v>
      </c>
      <c r="K104" s="346" t="s">
        <v>1852</v>
      </c>
      <c r="L104" s="346" t="s">
        <v>1864</v>
      </c>
      <c r="M104" s="346" t="s">
        <v>1904</v>
      </c>
      <c r="N104" s="440">
        <v>0</v>
      </c>
      <c r="O104" s="440">
        <v>2724</v>
      </c>
      <c r="P104" s="440">
        <v>2724</v>
      </c>
      <c r="Q104" s="440">
        <v>33560.78</v>
      </c>
      <c r="R104" s="440">
        <v>1660.96</v>
      </c>
      <c r="S104" s="440">
        <v>0</v>
      </c>
      <c r="T104" s="440">
        <v>35221.74</v>
      </c>
      <c r="U104" s="440">
        <v>0</v>
      </c>
      <c r="V104" s="440">
        <v>0</v>
      </c>
      <c r="W104" s="440">
        <v>1660.96</v>
      </c>
      <c r="X104" s="440">
        <v>283.51000000000005</v>
      </c>
      <c r="Y104" s="440">
        <v>0</v>
      </c>
      <c r="Z104" s="440">
        <v>34733.06</v>
      </c>
      <c r="AA104" s="440">
        <v>0</v>
      </c>
      <c r="AB104" s="440">
        <v>0</v>
      </c>
      <c r="AC104" s="440">
        <v>0</v>
      </c>
      <c r="AD104" s="440">
        <v>0</v>
      </c>
      <c r="AE104" s="440">
        <v>0</v>
      </c>
      <c r="AF104" s="440">
        <v>36677.53</v>
      </c>
      <c r="AH104" s="269"/>
    </row>
    <row r="105" spans="1:34">
      <c r="A105" s="346" t="s">
        <v>1777</v>
      </c>
      <c r="B105" s="346">
        <v>97</v>
      </c>
      <c r="C105" s="346"/>
      <c r="D105" s="346"/>
      <c r="E105" s="346"/>
      <c r="F105" s="346"/>
      <c r="G105" s="346" t="s">
        <v>1925</v>
      </c>
      <c r="H105" s="346" t="s">
        <v>1861</v>
      </c>
      <c r="I105" s="346" t="s">
        <v>1850</v>
      </c>
      <c r="J105" s="346" t="s">
        <v>1857</v>
      </c>
      <c r="K105" s="346" t="s">
        <v>1852</v>
      </c>
      <c r="L105" s="346" t="s">
        <v>1864</v>
      </c>
      <c r="M105" s="346" t="s">
        <v>1868</v>
      </c>
      <c r="N105" s="440">
        <v>0</v>
      </c>
      <c r="O105" s="440">
        <v>320</v>
      </c>
      <c r="P105" s="440">
        <v>320</v>
      </c>
      <c r="Q105" s="440">
        <v>2584.64</v>
      </c>
      <c r="R105" s="440">
        <v>-743.93691999999987</v>
      </c>
      <c r="S105" s="440">
        <v>0</v>
      </c>
      <c r="T105" s="440">
        <v>1840.70308</v>
      </c>
      <c r="U105" s="440">
        <v>0</v>
      </c>
      <c r="V105" s="440">
        <v>0</v>
      </c>
      <c r="W105" s="440">
        <v>-743.93691999999987</v>
      </c>
      <c r="X105" s="440">
        <v>15.04</v>
      </c>
      <c r="Y105" s="440">
        <v>0</v>
      </c>
      <c r="Z105" s="440">
        <v>2569.6</v>
      </c>
      <c r="AA105" s="440">
        <v>0</v>
      </c>
      <c r="AB105" s="440">
        <v>0</v>
      </c>
      <c r="AC105" s="440">
        <v>0</v>
      </c>
      <c r="AD105" s="440">
        <v>0</v>
      </c>
      <c r="AE105" s="440">
        <v>0</v>
      </c>
      <c r="AF105" s="440">
        <v>1840.70308</v>
      </c>
      <c r="AH105" s="269"/>
    </row>
    <row r="106" spans="1:34">
      <c r="A106" s="346" t="s">
        <v>1777</v>
      </c>
      <c r="B106" s="346">
        <v>98</v>
      </c>
      <c r="C106" s="346"/>
      <c r="D106" s="346"/>
      <c r="E106" s="346"/>
      <c r="F106" s="346"/>
      <c r="G106" s="346" t="s">
        <v>1925</v>
      </c>
      <c r="H106" s="346" t="s">
        <v>1856</v>
      </c>
      <c r="I106" s="346" t="s">
        <v>1856</v>
      </c>
      <c r="J106" s="346" t="s">
        <v>1857</v>
      </c>
      <c r="K106" s="346" t="s">
        <v>1852</v>
      </c>
      <c r="L106" s="346" t="s">
        <v>1904</v>
      </c>
      <c r="M106" s="346" t="s">
        <v>1858</v>
      </c>
      <c r="N106" s="440">
        <v>0</v>
      </c>
      <c r="O106" s="440">
        <v>33169</v>
      </c>
      <c r="P106" s="440">
        <v>33169</v>
      </c>
      <c r="Q106" s="440">
        <v>163128.24000000002</v>
      </c>
      <c r="R106" s="440">
        <v>34887.959920000001</v>
      </c>
      <c r="S106" s="440">
        <v>0</v>
      </c>
      <c r="T106" s="440">
        <v>198016.19992000001</v>
      </c>
      <c r="U106" s="440">
        <v>0</v>
      </c>
      <c r="V106" s="440">
        <v>0</v>
      </c>
      <c r="W106" s="440">
        <v>34887.959920000001</v>
      </c>
      <c r="X106" s="440">
        <v>1447.47</v>
      </c>
      <c r="Y106" s="440">
        <v>0</v>
      </c>
      <c r="Z106" s="440">
        <v>161680.76999999999</v>
      </c>
      <c r="AA106" s="440">
        <v>0</v>
      </c>
      <c r="AB106" s="440">
        <v>0</v>
      </c>
      <c r="AC106" s="440">
        <v>0</v>
      </c>
      <c r="AD106" s="440">
        <v>0</v>
      </c>
      <c r="AE106" s="440">
        <v>0</v>
      </c>
      <c r="AF106" s="440">
        <v>198016.19991999998</v>
      </c>
      <c r="AH106" s="269"/>
    </row>
    <row r="107" spans="1:34">
      <c r="A107" s="346" t="s">
        <v>1777</v>
      </c>
      <c r="B107" s="346">
        <v>99</v>
      </c>
      <c r="C107" s="346"/>
      <c r="D107" s="346"/>
      <c r="E107" s="346"/>
      <c r="F107" s="346"/>
      <c r="G107" s="346" t="s">
        <v>1925</v>
      </c>
      <c r="H107" s="346" t="s">
        <v>1856</v>
      </c>
      <c r="I107" s="346" t="s">
        <v>1856</v>
      </c>
      <c r="J107" s="346" t="s">
        <v>1857</v>
      </c>
      <c r="K107" s="346" t="s">
        <v>1852</v>
      </c>
      <c r="L107" s="346" t="s">
        <v>1858</v>
      </c>
      <c r="M107" s="346" t="s">
        <v>1904</v>
      </c>
      <c r="N107" s="440">
        <v>0</v>
      </c>
      <c r="O107" s="440">
        <v>20</v>
      </c>
      <c r="P107" s="440">
        <v>20</v>
      </c>
      <c r="Q107" s="440">
        <v>32.309999999999995</v>
      </c>
      <c r="R107" s="440">
        <v>0</v>
      </c>
      <c r="S107" s="440">
        <v>0</v>
      </c>
      <c r="T107" s="440">
        <v>32.309999999999995</v>
      </c>
      <c r="U107" s="440">
        <v>0</v>
      </c>
      <c r="V107" s="440">
        <v>0</v>
      </c>
      <c r="W107" s="440">
        <v>0</v>
      </c>
      <c r="X107" s="440">
        <v>0.19</v>
      </c>
      <c r="Y107" s="440">
        <v>0</v>
      </c>
      <c r="Z107" s="440">
        <v>32.119999999999997</v>
      </c>
      <c r="AA107" s="440">
        <v>0</v>
      </c>
      <c r="AB107" s="440">
        <v>0</v>
      </c>
      <c r="AC107" s="440">
        <v>0</v>
      </c>
      <c r="AD107" s="440">
        <v>0</v>
      </c>
      <c r="AE107" s="440">
        <v>0</v>
      </c>
      <c r="AF107" s="440">
        <v>32.309999999999995</v>
      </c>
      <c r="AH107" s="269"/>
    </row>
    <row r="108" spans="1:34">
      <c r="A108" s="346" t="s">
        <v>1777</v>
      </c>
      <c r="B108" s="346">
        <v>100</v>
      </c>
      <c r="C108" s="346"/>
      <c r="D108" s="346"/>
      <c r="E108" s="346"/>
      <c r="F108" s="346"/>
      <c r="G108" s="346" t="s">
        <v>1925</v>
      </c>
      <c r="H108" s="346" t="s">
        <v>1856</v>
      </c>
      <c r="I108" s="346" t="s">
        <v>1850</v>
      </c>
      <c r="J108" s="346" t="s">
        <v>1857</v>
      </c>
      <c r="K108" s="346" t="s">
        <v>1852</v>
      </c>
      <c r="L108" s="346" t="s">
        <v>1858</v>
      </c>
      <c r="M108" s="346" t="s">
        <v>1868</v>
      </c>
      <c r="N108" s="440">
        <v>0</v>
      </c>
      <c r="O108" s="440">
        <v>204</v>
      </c>
      <c r="P108" s="440">
        <v>204</v>
      </c>
      <c r="Q108" s="440">
        <v>1647.7099999999998</v>
      </c>
      <c r="R108" s="440">
        <v>0</v>
      </c>
      <c r="S108" s="440">
        <v>0</v>
      </c>
      <c r="T108" s="440">
        <v>1647.7099999999998</v>
      </c>
      <c r="U108" s="440">
        <v>0</v>
      </c>
      <c r="V108" s="440">
        <v>0</v>
      </c>
      <c r="W108" s="440">
        <v>0</v>
      </c>
      <c r="X108" s="440">
        <v>9.59</v>
      </c>
      <c r="Y108" s="440">
        <v>0</v>
      </c>
      <c r="Z108" s="440">
        <v>1638.12</v>
      </c>
      <c r="AA108" s="440">
        <v>0</v>
      </c>
      <c r="AB108" s="440">
        <v>0</v>
      </c>
      <c r="AC108" s="440">
        <v>0</v>
      </c>
      <c r="AD108" s="440">
        <v>0</v>
      </c>
      <c r="AE108" s="440">
        <v>0</v>
      </c>
      <c r="AF108" s="440">
        <v>1647.7099999999998</v>
      </c>
      <c r="AH108" s="269"/>
    </row>
    <row r="109" spans="1:34">
      <c r="A109" s="346" t="s">
        <v>1777</v>
      </c>
      <c r="B109" s="346">
        <v>101</v>
      </c>
      <c r="C109" s="346"/>
      <c r="D109" s="346"/>
      <c r="E109" s="346"/>
      <c r="F109" s="346"/>
      <c r="G109" s="346" t="s">
        <v>1925</v>
      </c>
      <c r="H109" s="346" t="s">
        <v>1865</v>
      </c>
      <c r="I109" s="346" t="s">
        <v>1856</v>
      </c>
      <c r="J109" s="346" t="s">
        <v>1857</v>
      </c>
      <c r="K109" s="346" t="s">
        <v>1852</v>
      </c>
      <c r="L109" s="346" t="s">
        <v>1877</v>
      </c>
      <c r="M109" s="346" t="s">
        <v>1858</v>
      </c>
      <c r="N109" s="440">
        <v>0</v>
      </c>
      <c r="O109" s="440">
        <v>72</v>
      </c>
      <c r="P109" s="440">
        <v>72</v>
      </c>
      <c r="Q109" s="440">
        <v>0</v>
      </c>
      <c r="R109" s="440">
        <v>310.71211</v>
      </c>
      <c r="S109" s="440">
        <v>0</v>
      </c>
      <c r="T109" s="440">
        <v>310.71211</v>
      </c>
      <c r="U109" s="440">
        <v>0</v>
      </c>
      <c r="V109" s="440">
        <v>0</v>
      </c>
      <c r="W109" s="440">
        <v>310.71211</v>
      </c>
      <c r="X109" s="440">
        <v>0</v>
      </c>
      <c r="Y109" s="440">
        <v>0</v>
      </c>
      <c r="Z109" s="440">
        <v>0</v>
      </c>
      <c r="AA109" s="440">
        <v>0</v>
      </c>
      <c r="AB109" s="440">
        <v>0</v>
      </c>
      <c r="AC109" s="440">
        <v>0</v>
      </c>
      <c r="AD109" s="440">
        <v>0</v>
      </c>
      <c r="AE109" s="440">
        <v>0</v>
      </c>
      <c r="AF109" s="440">
        <v>310.71211</v>
      </c>
      <c r="AH109" s="269"/>
    </row>
    <row r="110" spans="1:34">
      <c r="A110" s="346" t="s">
        <v>1777</v>
      </c>
      <c r="B110" s="346">
        <v>102</v>
      </c>
      <c r="C110" s="346"/>
      <c r="D110" s="346"/>
      <c r="E110" s="346"/>
      <c r="F110" s="346"/>
      <c r="G110" s="346" t="s">
        <v>1925</v>
      </c>
      <c r="H110" s="346" t="s">
        <v>1861</v>
      </c>
      <c r="I110" s="346" t="s">
        <v>1861</v>
      </c>
      <c r="J110" s="346" t="s">
        <v>1857</v>
      </c>
      <c r="K110" s="346" t="s">
        <v>1852</v>
      </c>
      <c r="L110" s="346" t="s">
        <v>1864</v>
      </c>
      <c r="M110" s="346" t="s">
        <v>1864</v>
      </c>
      <c r="N110" s="440">
        <v>0</v>
      </c>
      <c r="O110" s="440">
        <v>235</v>
      </c>
      <c r="P110" s="440">
        <v>235</v>
      </c>
      <c r="Q110" s="440">
        <v>1455.79</v>
      </c>
      <c r="R110" s="440">
        <v>505.05</v>
      </c>
      <c r="S110" s="440">
        <v>0</v>
      </c>
      <c r="T110" s="440">
        <v>1960.84</v>
      </c>
      <c r="U110" s="440">
        <v>0</v>
      </c>
      <c r="V110" s="440">
        <v>0</v>
      </c>
      <c r="W110" s="440">
        <v>505.05</v>
      </c>
      <c r="X110" s="440">
        <v>0</v>
      </c>
      <c r="Y110" s="440">
        <v>0</v>
      </c>
      <c r="Z110" s="440">
        <v>0</v>
      </c>
      <c r="AA110" s="440">
        <v>0</v>
      </c>
      <c r="AB110" s="440">
        <v>0</v>
      </c>
      <c r="AC110" s="440">
        <v>0</v>
      </c>
      <c r="AD110" s="440">
        <v>0</v>
      </c>
      <c r="AE110" s="440">
        <v>0</v>
      </c>
      <c r="AF110" s="440">
        <v>505.05</v>
      </c>
      <c r="AH110" s="269"/>
    </row>
    <row r="111" spans="1:34">
      <c r="A111" s="346" t="s">
        <v>1777</v>
      </c>
      <c r="B111" s="346">
        <v>103</v>
      </c>
      <c r="C111" s="346"/>
      <c r="D111" s="346"/>
      <c r="E111" s="346"/>
      <c r="F111" s="346"/>
      <c r="G111" s="346" t="s">
        <v>1926</v>
      </c>
      <c r="H111" s="346" t="s">
        <v>1856</v>
      </c>
      <c r="I111" s="346" t="s">
        <v>1861</v>
      </c>
      <c r="J111" s="346" t="s">
        <v>1862</v>
      </c>
      <c r="K111" s="346" t="s">
        <v>1852</v>
      </c>
      <c r="L111" s="346" t="s">
        <v>1927</v>
      </c>
      <c r="M111" s="346" t="s">
        <v>1864</v>
      </c>
      <c r="N111" s="440">
        <v>100</v>
      </c>
      <c r="O111" s="440">
        <v>297324</v>
      </c>
      <c r="P111" s="440">
        <v>297324</v>
      </c>
      <c r="Q111" s="440">
        <v>2381316.69</v>
      </c>
      <c r="R111" s="440">
        <v>0</v>
      </c>
      <c r="S111" s="440">
        <v>0</v>
      </c>
      <c r="T111" s="440">
        <v>2381316.69</v>
      </c>
      <c r="U111" s="440">
        <v>2342400</v>
      </c>
      <c r="V111" s="440">
        <v>0</v>
      </c>
      <c r="W111" s="440">
        <v>0</v>
      </c>
      <c r="X111" s="440">
        <v>38916.689999999988</v>
      </c>
      <c r="Y111" s="440">
        <v>0</v>
      </c>
      <c r="Z111" s="440">
        <v>0</v>
      </c>
      <c r="AA111" s="440">
        <v>0</v>
      </c>
      <c r="AB111" s="440">
        <v>0</v>
      </c>
      <c r="AC111" s="440">
        <v>0</v>
      </c>
      <c r="AD111" s="440">
        <v>0</v>
      </c>
      <c r="AE111" s="440">
        <v>0</v>
      </c>
      <c r="AF111" s="440">
        <v>2381316.69</v>
      </c>
      <c r="AH111" s="269"/>
    </row>
    <row r="112" spans="1:34">
      <c r="A112" s="346" t="s">
        <v>1777</v>
      </c>
      <c r="B112" s="346">
        <v>104</v>
      </c>
      <c r="C112" s="346"/>
      <c r="D112" s="346"/>
      <c r="E112" s="346"/>
      <c r="F112" s="346"/>
      <c r="G112" s="346" t="s">
        <v>1928</v>
      </c>
      <c r="H112" s="346" t="s">
        <v>1929</v>
      </c>
      <c r="I112" s="346" t="s">
        <v>1930</v>
      </c>
      <c r="J112" s="346" t="s">
        <v>1887</v>
      </c>
      <c r="K112" s="346" t="s">
        <v>1852</v>
      </c>
      <c r="L112" s="346">
        <v>0</v>
      </c>
      <c r="M112" s="346">
        <v>0</v>
      </c>
      <c r="N112" s="440">
        <v>0</v>
      </c>
      <c r="O112" s="440">
        <v>16813.169000000002</v>
      </c>
      <c r="P112" s="440">
        <v>16813.169000000002</v>
      </c>
      <c r="Q112" s="440">
        <v>136334.71</v>
      </c>
      <c r="R112" s="440">
        <v>20448.439999999999</v>
      </c>
      <c r="S112" s="440">
        <v>2181.66</v>
      </c>
      <c r="T112" s="440">
        <v>158964.81</v>
      </c>
      <c r="U112" s="440">
        <v>136334.71</v>
      </c>
      <c r="V112" s="440">
        <v>0</v>
      </c>
      <c r="W112" s="440">
        <v>20448.439999999999</v>
      </c>
      <c r="X112" s="440">
        <v>0</v>
      </c>
      <c r="Y112" s="440">
        <v>0</v>
      </c>
      <c r="Z112" s="440">
        <v>0</v>
      </c>
      <c r="AA112" s="440">
        <v>0</v>
      </c>
      <c r="AB112" s="440">
        <v>0</v>
      </c>
      <c r="AC112" s="440">
        <v>0</v>
      </c>
      <c r="AD112" s="440">
        <v>2181.66</v>
      </c>
      <c r="AE112" s="440">
        <v>0</v>
      </c>
      <c r="AF112" s="440">
        <v>158964.81</v>
      </c>
      <c r="AH112" s="269"/>
    </row>
    <row r="113" spans="1:34">
      <c r="A113" s="346" t="s">
        <v>1777</v>
      </c>
      <c r="B113" s="346">
        <v>105</v>
      </c>
      <c r="C113" s="346"/>
      <c r="D113" s="346"/>
      <c r="E113" s="346"/>
      <c r="F113" s="346"/>
      <c r="G113" s="346" t="s">
        <v>1931</v>
      </c>
      <c r="H113" s="346" t="s">
        <v>1932</v>
      </c>
      <c r="I113" s="346" t="s">
        <v>1933</v>
      </c>
      <c r="J113" s="346" t="s">
        <v>1887</v>
      </c>
      <c r="K113" s="346" t="s">
        <v>1852</v>
      </c>
      <c r="L113" s="346">
        <v>0</v>
      </c>
      <c r="M113" s="346">
        <v>0</v>
      </c>
      <c r="N113" s="440">
        <v>0</v>
      </c>
      <c r="O113" s="440">
        <v>149064.33500000002</v>
      </c>
      <c r="P113" s="440">
        <v>149064.33500000002</v>
      </c>
      <c r="Q113" s="440">
        <v>2086189.69</v>
      </c>
      <c r="R113" s="440">
        <v>272007.93</v>
      </c>
      <c r="S113" s="440">
        <v>35275.14</v>
      </c>
      <c r="T113" s="440">
        <v>2393472.7600000002</v>
      </c>
      <c r="U113" s="440">
        <v>2086189.69</v>
      </c>
      <c r="V113" s="440">
        <v>0</v>
      </c>
      <c r="W113" s="440">
        <v>272007.93</v>
      </c>
      <c r="X113" s="440">
        <v>0</v>
      </c>
      <c r="Y113" s="440">
        <v>0</v>
      </c>
      <c r="Z113" s="440">
        <v>0</v>
      </c>
      <c r="AA113" s="440">
        <v>0</v>
      </c>
      <c r="AB113" s="440">
        <v>0</v>
      </c>
      <c r="AC113" s="440">
        <v>0</v>
      </c>
      <c r="AD113" s="440">
        <v>35275.14</v>
      </c>
      <c r="AE113" s="440">
        <v>0</v>
      </c>
      <c r="AF113" s="440">
        <v>2393472.7600000002</v>
      </c>
      <c r="AH113" s="269"/>
    </row>
    <row r="114" spans="1:34">
      <c r="A114" s="346" t="s">
        <v>1777</v>
      </c>
      <c r="B114" s="346">
        <v>106</v>
      </c>
      <c r="C114" s="346"/>
      <c r="D114" s="346"/>
      <c r="E114" s="346"/>
      <c r="F114" s="346"/>
      <c r="G114" s="346" t="s">
        <v>1934</v>
      </c>
      <c r="H114" s="346" t="s">
        <v>1850</v>
      </c>
      <c r="I114" s="346" t="s">
        <v>1861</v>
      </c>
      <c r="J114" s="346" t="s">
        <v>1862</v>
      </c>
      <c r="K114" s="346" t="s">
        <v>1852</v>
      </c>
      <c r="L114" s="346" t="s">
        <v>1868</v>
      </c>
      <c r="M114" s="346" t="s">
        <v>1864</v>
      </c>
      <c r="N114" s="440">
        <v>35</v>
      </c>
      <c r="O114" s="440">
        <v>53082</v>
      </c>
      <c r="P114" s="440">
        <v>53082</v>
      </c>
      <c r="Q114" s="440">
        <v>1518317.48</v>
      </c>
      <c r="R114" s="440">
        <v>45589.13121</v>
      </c>
      <c r="S114" s="440">
        <v>0</v>
      </c>
      <c r="T114" s="440">
        <v>1563906.61121</v>
      </c>
      <c r="U114" s="440">
        <v>1504696.67</v>
      </c>
      <c r="V114" s="440">
        <v>0</v>
      </c>
      <c r="W114" s="440">
        <v>45589.13121</v>
      </c>
      <c r="X114" s="440">
        <v>13620.81</v>
      </c>
      <c r="Y114" s="440">
        <v>0</v>
      </c>
      <c r="Z114" s="440">
        <v>0</v>
      </c>
      <c r="AA114" s="440">
        <v>0</v>
      </c>
      <c r="AB114" s="440">
        <v>0</v>
      </c>
      <c r="AC114" s="440">
        <v>0</v>
      </c>
      <c r="AD114" s="440">
        <v>0</v>
      </c>
      <c r="AE114" s="440">
        <v>0</v>
      </c>
      <c r="AF114" s="440">
        <v>1563906.61121</v>
      </c>
      <c r="AH114" s="269"/>
    </row>
    <row r="115" spans="1:34">
      <c r="A115" s="346" t="s">
        <v>1777</v>
      </c>
      <c r="B115" s="346">
        <v>107</v>
      </c>
      <c r="C115" s="346"/>
      <c r="D115" s="346"/>
      <c r="E115" s="346"/>
      <c r="F115" s="346"/>
      <c r="G115" s="346" t="s">
        <v>1935</v>
      </c>
      <c r="H115" s="346" t="s">
        <v>1936</v>
      </c>
      <c r="I115" s="346" t="s">
        <v>1936</v>
      </c>
      <c r="J115" s="346" t="s">
        <v>1887</v>
      </c>
      <c r="K115" s="346" t="s">
        <v>1852</v>
      </c>
      <c r="L115" s="346">
        <v>0</v>
      </c>
      <c r="M115" s="346">
        <v>0</v>
      </c>
      <c r="N115" s="440">
        <v>0</v>
      </c>
      <c r="O115" s="440">
        <v>142378</v>
      </c>
      <c r="P115" s="440">
        <v>142378</v>
      </c>
      <c r="Q115" s="440">
        <v>2180352.7599999998</v>
      </c>
      <c r="R115" s="440">
        <v>495619.85999999993</v>
      </c>
      <c r="S115" s="440">
        <v>32315.65</v>
      </c>
      <c r="T115" s="440">
        <v>2708288.2699999996</v>
      </c>
      <c r="U115" s="440">
        <v>2180352.7599999998</v>
      </c>
      <c r="V115" s="440">
        <v>0</v>
      </c>
      <c r="W115" s="440">
        <v>495619.85999999993</v>
      </c>
      <c r="X115" s="440">
        <v>0</v>
      </c>
      <c r="Y115" s="440">
        <v>0</v>
      </c>
      <c r="Z115" s="440">
        <v>0</v>
      </c>
      <c r="AA115" s="440">
        <v>0</v>
      </c>
      <c r="AB115" s="440">
        <v>0</v>
      </c>
      <c r="AC115" s="440">
        <v>0</v>
      </c>
      <c r="AD115" s="440">
        <v>32315.65</v>
      </c>
      <c r="AE115" s="440">
        <v>0</v>
      </c>
      <c r="AF115" s="440">
        <v>2708288.2699999996</v>
      </c>
      <c r="AH115" s="269"/>
    </row>
    <row r="116" spans="1:34">
      <c r="A116" s="346" t="s">
        <v>1777</v>
      </c>
      <c r="B116" s="346">
        <v>108</v>
      </c>
      <c r="C116" s="346"/>
      <c r="D116" s="346"/>
      <c r="E116" s="346"/>
      <c r="F116" s="346"/>
      <c r="G116" s="346" t="s">
        <v>1937</v>
      </c>
      <c r="H116" s="346" t="s">
        <v>1850</v>
      </c>
      <c r="I116" s="346" t="s">
        <v>1861</v>
      </c>
      <c r="J116" s="346" t="s">
        <v>1851</v>
      </c>
      <c r="K116" s="346" t="s">
        <v>1852</v>
      </c>
      <c r="L116" s="346" t="s">
        <v>1868</v>
      </c>
      <c r="M116" s="346" t="s">
        <v>1864</v>
      </c>
      <c r="N116" s="440">
        <v>0</v>
      </c>
      <c r="O116" s="440">
        <v>40</v>
      </c>
      <c r="P116" s="440">
        <v>40</v>
      </c>
      <c r="Q116" s="440">
        <v>403.84999999999997</v>
      </c>
      <c r="R116" s="440">
        <v>81.38</v>
      </c>
      <c r="S116" s="440">
        <v>0</v>
      </c>
      <c r="T116" s="440">
        <v>485.22999999999996</v>
      </c>
      <c r="U116" s="440">
        <v>0</v>
      </c>
      <c r="V116" s="440">
        <v>0</v>
      </c>
      <c r="W116" s="440">
        <v>81.38</v>
      </c>
      <c r="X116" s="440">
        <v>11.75</v>
      </c>
      <c r="Y116" s="440">
        <v>0</v>
      </c>
      <c r="Z116" s="440">
        <v>0</v>
      </c>
      <c r="AA116" s="440">
        <v>2207.4999999999995</v>
      </c>
      <c r="AB116" s="440">
        <v>0</v>
      </c>
      <c r="AC116" s="440">
        <v>0</v>
      </c>
      <c r="AD116" s="440">
        <v>0</v>
      </c>
      <c r="AE116" s="440">
        <v>0</v>
      </c>
      <c r="AF116" s="440">
        <v>2300.6299999999997</v>
      </c>
      <c r="AH116" s="269"/>
    </row>
    <row r="117" spans="1:34">
      <c r="A117" s="346" t="s">
        <v>1777</v>
      </c>
      <c r="B117" s="346">
        <v>109</v>
      </c>
      <c r="C117" s="346"/>
      <c r="D117" s="346"/>
      <c r="E117" s="346"/>
      <c r="F117" s="346"/>
      <c r="G117" s="346" t="s">
        <v>1937</v>
      </c>
      <c r="H117" s="346" t="s">
        <v>1861</v>
      </c>
      <c r="I117" s="346" t="s">
        <v>1850</v>
      </c>
      <c r="J117" s="346" t="s">
        <v>1851</v>
      </c>
      <c r="K117" s="346" t="s">
        <v>1852</v>
      </c>
      <c r="L117" s="346" t="s">
        <v>1864</v>
      </c>
      <c r="M117" s="346" t="s">
        <v>1868</v>
      </c>
      <c r="N117" s="440">
        <v>0</v>
      </c>
      <c r="O117" s="440">
        <v>31</v>
      </c>
      <c r="P117" s="440">
        <v>31</v>
      </c>
      <c r="Q117" s="440">
        <v>5257.3899999999994</v>
      </c>
      <c r="R117" s="440">
        <v>826.95365000000004</v>
      </c>
      <c r="S117" s="440">
        <v>0</v>
      </c>
      <c r="T117" s="440">
        <v>6084.3436499999998</v>
      </c>
      <c r="U117" s="440">
        <v>0</v>
      </c>
      <c r="V117" s="440">
        <v>0</v>
      </c>
      <c r="W117" s="440">
        <v>826.95365000000004</v>
      </c>
      <c r="X117" s="440">
        <v>13.16</v>
      </c>
      <c r="Y117" s="440">
        <v>0</v>
      </c>
      <c r="Z117" s="440">
        <v>0</v>
      </c>
      <c r="AA117" s="440">
        <v>2248.3999999999996</v>
      </c>
      <c r="AB117" s="440">
        <v>0</v>
      </c>
      <c r="AC117" s="440">
        <v>0</v>
      </c>
      <c r="AD117" s="440">
        <v>0</v>
      </c>
      <c r="AE117" s="440">
        <v>0</v>
      </c>
      <c r="AF117" s="440">
        <v>3088.5136499999999</v>
      </c>
      <c r="AH117" s="269"/>
    </row>
    <row r="118" spans="1:34">
      <c r="A118" s="346" t="s">
        <v>1777</v>
      </c>
      <c r="B118" s="346">
        <v>110</v>
      </c>
      <c r="C118" s="346"/>
      <c r="D118" s="346"/>
      <c r="E118" s="346"/>
      <c r="F118" s="346"/>
      <c r="G118" s="346" t="s">
        <v>1937</v>
      </c>
      <c r="H118" s="346" t="s">
        <v>1850</v>
      </c>
      <c r="I118" s="346" t="s">
        <v>1849</v>
      </c>
      <c r="J118" s="346" t="s">
        <v>1851</v>
      </c>
      <c r="K118" s="346" t="s">
        <v>1852</v>
      </c>
      <c r="L118" s="346" t="s">
        <v>1854</v>
      </c>
      <c r="M118" s="346" t="s">
        <v>1853</v>
      </c>
      <c r="N118" s="440">
        <v>0</v>
      </c>
      <c r="O118" s="440">
        <v>44</v>
      </c>
      <c r="P118" s="440">
        <v>44</v>
      </c>
      <c r="Q118" s="440">
        <v>355.39</v>
      </c>
      <c r="R118" s="440">
        <v>50.377949999999998</v>
      </c>
      <c r="S118" s="440">
        <v>0</v>
      </c>
      <c r="T118" s="440">
        <v>405.76794999999998</v>
      </c>
      <c r="U118" s="440">
        <v>0</v>
      </c>
      <c r="V118" s="440">
        <v>0</v>
      </c>
      <c r="W118" s="440">
        <v>50.377949999999998</v>
      </c>
      <c r="X118" s="440">
        <v>0</v>
      </c>
      <c r="Y118" s="440">
        <v>0</v>
      </c>
      <c r="Z118" s="440">
        <v>0</v>
      </c>
      <c r="AA118" s="440">
        <v>0</v>
      </c>
      <c r="AB118" s="440">
        <v>0</v>
      </c>
      <c r="AC118" s="440">
        <v>0</v>
      </c>
      <c r="AD118" s="440">
        <v>0</v>
      </c>
      <c r="AE118" s="440">
        <v>0</v>
      </c>
      <c r="AF118" s="440">
        <v>50.377949999999998</v>
      </c>
      <c r="AH118" s="269"/>
    </row>
    <row r="119" spans="1:34">
      <c r="A119" s="346" t="s">
        <v>1777</v>
      </c>
      <c r="B119" s="346">
        <v>111</v>
      </c>
      <c r="C119" s="346"/>
      <c r="D119" s="346"/>
      <c r="E119" s="346"/>
      <c r="F119" s="346"/>
      <c r="G119" s="346" t="s">
        <v>1937</v>
      </c>
      <c r="H119" s="346" t="s">
        <v>1850</v>
      </c>
      <c r="I119" s="346" t="s">
        <v>1856</v>
      </c>
      <c r="J119" s="346" t="s">
        <v>1851</v>
      </c>
      <c r="K119" s="346" t="s">
        <v>1852</v>
      </c>
      <c r="L119" s="346" t="s">
        <v>1868</v>
      </c>
      <c r="M119" s="346" t="s">
        <v>1858</v>
      </c>
      <c r="N119" s="440">
        <v>0</v>
      </c>
      <c r="O119" s="440">
        <v>588</v>
      </c>
      <c r="P119" s="440">
        <v>588</v>
      </c>
      <c r="Q119" s="440">
        <v>1534.6299999999997</v>
      </c>
      <c r="R119" s="440">
        <v>1126.9442899999999</v>
      </c>
      <c r="S119" s="440">
        <v>0</v>
      </c>
      <c r="T119" s="440">
        <v>2661.5742899999996</v>
      </c>
      <c r="U119" s="440">
        <v>0</v>
      </c>
      <c r="V119" s="440">
        <v>0</v>
      </c>
      <c r="W119" s="440">
        <v>1126.9442899999999</v>
      </c>
      <c r="X119" s="440">
        <v>0</v>
      </c>
      <c r="Y119" s="440">
        <v>0</v>
      </c>
      <c r="Z119" s="440">
        <v>0</v>
      </c>
      <c r="AA119" s="440">
        <v>0</v>
      </c>
      <c r="AB119" s="440">
        <v>0</v>
      </c>
      <c r="AC119" s="440">
        <v>0</v>
      </c>
      <c r="AD119" s="440">
        <v>0</v>
      </c>
      <c r="AE119" s="440">
        <v>0</v>
      </c>
      <c r="AF119" s="440">
        <v>1126.9442899999999</v>
      </c>
      <c r="AH119" s="269"/>
    </row>
    <row r="120" spans="1:34">
      <c r="A120" s="346" t="s">
        <v>1777</v>
      </c>
      <c r="B120" s="346">
        <v>112</v>
      </c>
      <c r="C120" s="346"/>
      <c r="D120" s="346"/>
      <c r="E120" s="346"/>
      <c r="F120" s="346"/>
      <c r="G120" s="346" t="s">
        <v>1937</v>
      </c>
      <c r="H120" s="346" t="s">
        <v>1861</v>
      </c>
      <c r="I120" s="346" t="s">
        <v>1865</v>
      </c>
      <c r="J120" s="346" t="s">
        <v>1851</v>
      </c>
      <c r="K120" s="346" t="s">
        <v>1852</v>
      </c>
      <c r="L120" s="346" t="s">
        <v>1864</v>
      </c>
      <c r="M120" s="346" t="s">
        <v>1877</v>
      </c>
      <c r="N120" s="440">
        <v>0</v>
      </c>
      <c r="O120" s="440">
        <v>0</v>
      </c>
      <c r="P120" s="440">
        <v>0</v>
      </c>
      <c r="Q120" s="440">
        <v>969.2399999999999</v>
      </c>
      <c r="R120" s="440">
        <v>0</v>
      </c>
      <c r="S120" s="440">
        <v>0</v>
      </c>
      <c r="T120" s="440">
        <v>969.2399999999999</v>
      </c>
      <c r="U120" s="440">
        <v>0</v>
      </c>
      <c r="V120" s="440">
        <v>0</v>
      </c>
      <c r="W120" s="440">
        <v>0</v>
      </c>
      <c r="X120" s="440">
        <v>5.64</v>
      </c>
      <c r="Y120" s="440">
        <v>0</v>
      </c>
      <c r="Z120" s="440">
        <v>0</v>
      </c>
      <c r="AA120" s="440">
        <v>963.59999999999991</v>
      </c>
      <c r="AB120" s="440">
        <v>0</v>
      </c>
      <c r="AC120" s="440">
        <v>0</v>
      </c>
      <c r="AD120" s="440">
        <v>0</v>
      </c>
      <c r="AE120" s="440">
        <v>0</v>
      </c>
      <c r="AF120" s="440">
        <v>969.2399999999999</v>
      </c>
      <c r="AH120" s="269"/>
    </row>
    <row r="121" spans="1:34">
      <c r="A121" s="346" t="s">
        <v>1777</v>
      </c>
      <c r="B121" s="346">
        <v>113</v>
      </c>
      <c r="C121" s="346"/>
      <c r="D121" s="346"/>
      <c r="E121" s="346"/>
      <c r="F121" s="346"/>
      <c r="G121" s="346" t="s">
        <v>1937</v>
      </c>
      <c r="H121" s="346" t="s">
        <v>1856</v>
      </c>
      <c r="I121" s="346" t="s">
        <v>1861</v>
      </c>
      <c r="J121" s="346" t="s">
        <v>1851</v>
      </c>
      <c r="K121" s="346" t="s">
        <v>1852</v>
      </c>
      <c r="L121" s="346" t="s">
        <v>1858</v>
      </c>
      <c r="M121" s="346" t="s">
        <v>1864</v>
      </c>
      <c r="N121" s="440">
        <v>0</v>
      </c>
      <c r="O121" s="440">
        <v>71</v>
      </c>
      <c r="P121" s="440">
        <v>71</v>
      </c>
      <c r="Q121" s="440">
        <v>1815.3999999999999</v>
      </c>
      <c r="R121" s="440">
        <v>756.03</v>
      </c>
      <c r="S121" s="440">
        <v>0</v>
      </c>
      <c r="T121" s="440">
        <v>2571.4299999999998</v>
      </c>
      <c r="U121" s="440">
        <v>0</v>
      </c>
      <c r="V121" s="440">
        <v>0</v>
      </c>
      <c r="W121" s="440">
        <v>756.03</v>
      </c>
      <c r="X121" s="440">
        <v>0</v>
      </c>
      <c r="Y121" s="440">
        <v>0</v>
      </c>
      <c r="Z121" s="440">
        <v>0</v>
      </c>
      <c r="AA121" s="440">
        <v>0</v>
      </c>
      <c r="AB121" s="440">
        <v>0</v>
      </c>
      <c r="AC121" s="440">
        <v>0</v>
      </c>
      <c r="AD121" s="440">
        <v>0</v>
      </c>
      <c r="AE121" s="440">
        <v>0</v>
      </c>
      <c r="AF121" s="440">
        <v>756.03</v>
      </c>
      <c r="AH121" s="269"/>
    </row>
    <row r="122" spans="1:34">
      <c r="A122" s="346" t="s">
        <v>1777</v>
      </c>
      <c r="B122" s="346">
        <v>114</v>
      </c>
      <c r="C122" s="346"/>
      <c r="D122" s="346"/>
      <c r="E122" s="346"/>
      <c r="F122" s="346"/>
      <c r="G122" s="346" t="s">
        <v>1938</v>
      </c>
      <c r="H122" s="346" t="s">
        <v>1861</v>
      </c>
      <c r="I122" s="346" t="s">
        <v>1850</v>
      </c>
      <c r="J122" s="346" t="s">
        <v>1857</v>
      </c>
      <c r="K122" s="346" t="s">
        <v>1852</v>
      </c>
      <c r="L122" s="346" t="s">
        <v>1864</v>
      </c>
      <c r="M122" s="346" t="s">
        <v>1868</v>
      </c>
      <c r="N122" s="440">
        <v>0</v>
      </c>
      <c r="O122" s="440">
        <v>3477</v>
      </c>
      <c r="P122" s="440">
        <v>3477</v>
      </c>
      <c r="Q122" s="440">
        <v>50602.68</v>
      </c>
      <c r="R122" s="440">
        <v>-811.16</v>
      </c>
      <c r="S122" s="440">
        <v>0</v>
      </c>
      <c r="T122" s="440">
        <v>49791.519999999997</v>
      </c>
      <c r="U122" s="440">
        <v>0</v>
      </c>
      <c r="V122" s="440">
        <v>0</v>
      </c>
      <c r="W122" s="440">
        <v>-811.16</v>
      </c>
      <c r="X122" s="440">
        <v>497.88</v>
      </c>
      <c r="Y122" s="440">
        <v>0</v>
      </c>
      <c r="Z122" s="440">
        <v>50104.800000000003</v>
      </c>
      <c r="AA122" s="440">
        <v>0</v>
      </c>
      <c r="AB122" s="440">
        <v>0</v>
      </c>
      <c r="AC122" s="440">
        <v>0</v>
      </c>
      <c r="AD122" s="440">
        <v>0</v>
      </c>
      <c r="AE122" s="440">
        <v>0</v>
      </c>
      <c r="AF122" s="440">
        <v>49791.520000000004</v>
      </c>
      <c r="AH122" s="269"/>
    </row>
    <row r="123" spans="1:34">
      <c r="A123" s="346" t="s">
        <v>1777</v>
      </c>
      <c r="B123" s="346">
        <v>115</v>
      </c>
      <c r="C123" s="346"/>
      <c r="D123" s="346"/>
      <c r="E123" s="346"/>
      <c r="F123" s="346"/>
      <c r="G123" s="346" t="s">
        <v>1938</v>
      </c>
      <c r="H123" s="346" t="s">
        <v>1850</v>
      </c>
      <c r="I123" s="346" t="s">
        <v>1850</v>
      </c>
      <c r="J123" s="346" t="s">
        <v>1857</v>
      </c>
      <c r="K123" s="346" t="s">
        <v>1852</v>
      </c>
      <c r="L123" s="346" t="s">
        <v>1868</v>
      </c>
      <c r="M123" s="346" t="s">
        <v>1868</v>
      </c>
      <c r="N123" s="440">
        <v>0</v>
      </c>
      <c r="O123" s="440">
        <v>0</v>
      </c>
      <c r="P123" s="440">
        <v>0</v>
      </c>
      <c r="Q123" s="440">
        <v>0</v>
      </c>
      <c r="R123" s="440">
        <v>0</v>
      </c>
      <c r="S123" s="440">
        <v>0</v>
      </c>
      <c r="T123" s="440">
        <v>0</v>
      </c>
      <c r="U123" s="440">
        <v>0</v>
      </c>
      <c r="V123" s="440">
        <v>0</v>
      </c>
      <c r="W123" s="440">
        <v>0</v>
      </c>
      <c r="X123" s="440">
        <v>0</v>
      </c>
      <c r="Y123" s="440">
        <v>0</v>
      </c>
      <c r="Z123" s="440">
        <v>0</v>
      </c>
      <c r="AA123" s="440">
        <v>0</v>
      </c>
      <c r="AB123" s="440">
        <v>0</v>
      </c>
      <c r="AC123" s="440">
        <v>0</v>
      </c>
      <c r="AD123" s="440">
        <v>0</v>
      </c>
      <c r="AE123" s="440">
        <v>0</v>
      </c>
      <c r="AF123" s="440">
        <v>0</v>
      </c>
      <c r="AH123" s="269"/>
    </row>
    <row r="124" spans="1:34">
      <c r="A124" s="346" t="s">
        <v>1777</v>
      </c>
      <c r="B124" s="346">
        <v>116</v>
      </c>
      <c r="C124" s="346"/>
      <c r="D124" s="346"/>
      <c r="E124" s="346"/>
      <c r="F124" s="346"/>
      <c r="G124" s="346" t="s">
        <v>1939</v>
      </c>
      <c r="H124" s="346" t="s">
        <v>1861</v>
      </c>
      <c r="I124" s="346" t="s">
        <v>1850</v>
      </c>
      <c r="J124" s="346" t="s">
        <v>1851</v>
      </c>
      <c r="K124" s="346" t="s">
        <v>1852</v>
      </c>
      <c r="L124" s="346" t="s">
        <v>1864</v>
      </c>
      <c r="M124" s="346" t="s">
        <v>1868</v>
      </c>
      <c r="N124" s="440">
        <v>0</v>
      </c>
      <c r="O124" s="440">
        <v>10</v>
      </c>
      <c r="P124" s="440">
        <v>10</v>
      </c>
      <c r="Q124" s="440">
        <v>1009.63</v>
      </c>
      <c r="R124" s="440">
        <v>162.07</v>
      </c>
      <c r="S124" s="440">
        <v>0</v>
      </c>
      <c r="T124" s="440">
        <v>1171.7</v>
      </c>
      <c r="U124" s="440">
        <v>0</v>
      </c>
      <c r="V124" s="440">
        <v>0</v>
      </c>
      <c r="W124" s="440">
        <v>162.07</v>
      </c>
      <c r="X124" s="440">
        <v>39.739999999999995</v>
      </c>
      <c r="Y124" s="440">
        <v>0</v>
      </c>
      <c r="Z124" s="440">
        <v>0</v>
      </c>
      <c r="AA124" s="440">
        <v>5500.3499999999995</v>
      </c>
      <c r="AB124" s="440">
        <v>0</v>
      </c>
      <c r="AC124" s="440">
        <v>0</v>
      </c>
      <c r="AD124" s="440">
        <v>0</v>
      </c>
      <c r="AE124" s="440">
        <v>0</v>
      </c>
      <c r="AF124" s="440">
        <v>5702.16</v>
      </c>
      <c r="AH124" s="269"/>
    </row>
    <row r="125" spans="1:34">
      <c r="A125" s="346" t="s">
        <v>1777</v>
      </c>
      <c r="B125" s="346">
        <v>117</v>
      </c>
      <c r="C125" s="346"/>
      <c r="D125" s="346"/>
      <c r="E125" s="346"/>
      <c r="F125" s="346"/>
      <c r="G125" s="346" t="s">
        <v>1939</v>
      </c>
      <c r="H125" s="346" t="s">
        <v>1850</v>
      </c>
      <c r="I125" s="346" t="s">
        <v>1849</v>
      </c>
      <c r="J125" s="346" t="s">
        <v>1851</v>
      </c>
      <c r="K125" s="346" t="s">
        <v>1852</v>
      </c>
      <c r="L125" s="346" t="s">
        <v>1854</v>
      </c>
      <c r="M125" s="346" t="s">
        <v>1853</v>
      </c>
      <c r="N125" s="440">
        <v>0</v>
      </c>
      <c r="O125" s="440">
        <v>32736</v>
      </c>
      <c r="P125" s="440">
        <v>32736</v>
      </c>
      <c r="Q125" s="440">
        <v>336538</v>
      </c>
      <c r="R125" s="440">
        <v>54888</v>
      </c>
      <c r="S125" s="440">
        <v>0</v>
      </c>
      <c r="T125" s="440">
        <v>391426</v>
      </c>
      <c r="U125" s="440">
        <v>0</v>
      </c>
      <c r="V125" s="440">
        <v>0</v>
      </c>
      <c r="W125" s="440">
        <v>54888</v>
      </c>
      <c r="X125" s="440">
        <v>2672.0699999999997</v>
      </c>
      <c r="Y125" s="440">
        <v>0</v>
      </c>
      <c r="Z125" s="440">
        <v>0</v>
      </c>
      <c r="AA125" s="440">
        <v>334221.32</v>
      </c>
      <c r="AB125" s="440">
        <v>0</v>
      </c>
      <c r="AC125" s="440">
        <v>0</v>
      </c>
      <c r="AD125" s="440">
        <v>0</v>
      </c>
      <c r="AE125" s="440">
        <v>0</v>
      </c>
      <c r="AF125" s="440">
        <v>391781.39</v>
      </c>
      <c r="AH125" s="269"/>
    </row>
    <row r="126" spans="1:34">
      <c r="A126" s="346" t="s">
        <v>1777</v>
      </c>
      <c r="B126" s="346">
        <v>118</v>
      </c>
      <c r="C126" s="346"/>
      <c r="D126" s="346"/>
      <c r="E126" s="346"/>
      <c r="F126" s="346"/>
      <c r="G126" s="346" t="s">
        <v>1940</v>
      </c>
      <c r="H126" s="346" t="s">
        <v>1861</v>
      </c>
      <c r="I126" s="346" t="s">
        <v>1850</v>
      </c>
      <c r="J126" s="346" t="s">
        <v>1857</v>
      </c>
      <c r="K126" s="346" t="s">
        <v>1852</v>
      </c>
      <c r="L126" s="346" t="s">
        <v>1864</v>
      </c>
      <c r="M126" s="346" t="s">
        <v>1868</v>
      </c>
      <c r="N126" s="440">
        <v>0</v>
      </c>
      <c r="O126" s="440">
        <v>2811</v>
      </c>
      <c r="P126" s="440">
        <v>2811</v>
      </c>
      <c r="Q126" s="440">
        <v>57827.92</v>
      </c>
      <c r="R126" s="440">
        <v>-3180.55</v>
      </c>
      <c r="S126" s="440">
        <v>0</v>
      </c>
      <c r="T126" s="440">
        <v>54647.369999999995</v>
      </c>
      <c r="U126" s="440">
        <v>0</v>
      </c>
      <c r="V126" s="440">
        <v>0</v>
      </c>
      <c r="W126" s="440">
        <v>-3180.55</v>
      </c>
      <c r="X126" s="440">
        <v>440.75999999999993</v>
      </c>
      <c r="Y126" s="440">
        <v>0</v>
      </c>
      <c r="Z126" s="440">
        <v>57387.159999999996</v>
      </c>
      <c r="AA126" s="440">
        <v>0</v>
      </c>
      <c r="AB126" s="440">
        <v>0</v>
      </c>
      <c r="AC126" s="440">
        <v>0</v>
      </c>
      <c r="AD126" s="440">
        <v>0</v>
      </c>
      <c r="AE126" s="440">
        <v>0</v>
      </c>
      <c r="AF126" s="440">
        <v>54647.369999999995</v>
      </c>
      <c r="AH126" s="269"/>
    </row>
    <row r="127" spans="1:34">
      <c r="A127" s="346" t="s">
        <v>1777</v>
      </c>
      <c r="B127" s="346">
        <v>119</v>
      </c>
      <c r="C127" s="346"/>
      <c r="D127" s="346"/>
      <c r="E127" s="346"/>
      <c r="F127" s="346"/>
      <c r="G127" s="346" t="s">
        <v>1940</v>
      </c>
      <c r="H127" s="346" t="s">
        <v>1856</v>
      </c>
      <c r="I127" s="346" t="s">
        <v>1850</v>
      </c>
      <c r="J127" s="346" t="s">
        <v>1857</v>
      </c>
      <c r="K127" s="346" t="s">
        <v>1852</v>
      </c>
      <c r="L127" s="346" t="s">
        <v>1858</v>
      </c>
      <c r="M127" s="346" t="s">
        <v>1868</v>
      </c>
      <c r="N127" s="440">
        <v>0</v>
      </c>
      <c r="O127" s="440">
        <v>12</v>
      </c>
      <c r="P127" s="440">
        <v>12</v>
      </c>
      <c r="Q127" s="440">
        <v>146408.84</v>
      </c>
      <c r="R127" s="440">
        <v>-208.17</v>
      </c>
      <c r="S127" s="440">
        <v>0</v>
      </c>
      <c r="T127" s="440">
        <v>146200.66999999998</v>
      </c>
      <c r="U127" s="440">
        <v>0</v>
      </c>
      <c r="V127" s="440">
        <v>0</v>
      </c>
      <c r="W127" s="440">
        <v>-208.17</v>
      </c>
      <c r="X127" s="440">
        <v>1316.44</v>
      </c>
      <c r="Y127" s="440">
        <v>0</v>
      </c>
      <c r="Z127" s="440">
        <v>145092.4</v>
      </c>
      <c r="AA127" s="440">
        <v>0</v>
      </c>
      <c r="AB127" s="440">
        <v>0</v>
      </c>
      <c r="AC127" s="440">
        <v>0</v>
      </c>
      <c r="AD127" s="440">
        <v>0</v>
      </c>
      <c r="AE127" s="440">
        <v>0</v>
      </c>
      <c r="AF127" s="440">
        <v>146200.66999999998</v>
      </c>
      <c r="AH127" s="269"/>
    </row>
    <row r="128" spans="1:34">
      <c r="A128" s="346" t="s">
        <v>1777</v>
      </c>
      <c r="B128" s="346">
        <v>120</v>
      </c>
      <c r="C128" s="346"/>
      <c r="D128" s="346"/>
      <c r="E128" s="346"/>
      <c r="F128" s="346"/>
      <c r="G128" s="346" t="s">
        <v>1940</v>
      </c>
      <c r="H128" s="346" t="s">
        <v>1850</v>
      </c>
      <c r="I128" s="346" t="s">
        <v>1850</v>
      </c>
      <c r="J128" s="346" t="s">
        <v>1857</v>
      </c>
      <c r="K128" s="346" t="s">
        <v>1852</v>
      </c>
      <c r="L128" s="346" t="s">
        <v>1868</v>
      </c>
      <c r="M128" s="346" t="s">
        <v>1868</v>
      </c>
      <c r="N128" s="440">
        <v>0</v>
      </c>
      <c r="O128" s="440">
        <v>579</v>
      </c>
      <c r="P128" s="440">
        <v>579</v>
      </c>
      <c r="Q128" s="440">
        <v>6493.91</v>
      </c>
      <c r="R128" s="440">
        <v>30.08</v>
      </c>
      <c r="S128" s="440">
        <v>0</v>
      </c>
      <c r="T128" s="440">
        <v>6523.99</v>
      </c>
      <c r="U128" s="440">
        <v>0</v>
      </c>
      <c r="V128" s="440">
        <v>0</v>
      </c>
      <c r="W128" s="440">
        <v>30.08</v>
      </c>
      <c r="X128" s="440">
        <v>37.79</v>
      </c>
      <c r="Y128" s="440">
        <v>0</v>
      </c>
      <c r="Z128" s="440">
        <v>6456.12</v>
      </c>
      <c r="AA128" s="440">
        <v>0</v>
      </c>
      <c r="AB128" s="440">
        <v>0</v>
      </c>
      <c r="AC128" s="440">
        <v>0</v>
      </c>
      <c r="AD128" s="440">
        <v>0</v>
      </c>
      <c r="AE128" s="440">
        <v>0</v>
      </c>
      <c r="AF128" s="440">
        <v>6523.99</v>
      </c>
      <c r="AH128" s="269"/>
    </row>
    <row r="129" spans="1:34">
      <c r="A129" s="346" t="s">
        <v>1777</v>
      </c>
      <c r="B129" s="346">
        <v>121</v>
      </c>
      <c r="C129" s="346"/>
      <c r="D129" s="346"/>
      <c r="E129" s="346"/>
      <c r="F129" s="346"/>
      <c r="G129" s="346" t="s">
        <v>1940</v>
      </c>
      <c r="H129" s="346" t="s">
        <v>1856</v>
      </c>
      <c r="I129" s="346" t="s">
        <v>1856</v>
      </c>
      <c r="J129" s="346" t="s">
        <v>1857</v>
      </c>
      <c r="K129" s="346" t="s">
        <v>1852</v>
      </c>
      <c r="L129" s="346" t="s">
        <v>1904</v>
      </c>
      <c r="M129" s="346" t="s">
        <v>1858</v>
      </c>
      <c r="N129" s="440">
        <v>0</v>
      </c>
      <c r="O129" s="440">
        <v>0</v>
      </c>
      <c r="P129" s="440">
        <v>0</v>
      </c>
      <c r="Q129" s="440">
        <v>9.08</v>
      </c>
      <c r="R129" s="440">
        <v>0</v>
      </c>
      <c r="S129" s="440">
        <v>0</v>
      </c>
      <c r="T129" s="440">
        <v>9.08</v>
      </c>
      <c r="U129" s="440">
        <v>0</v>
      </c>
      <c r="V129" s="440">
        <v>0</v>
      </c>
      <c r="W129" s="440">
        <v>0</v>
      </c>
      <c r="X129" s="440">
        <v>0.05</v>
      </c>
      <c r="Y129" s="440">
        <v>0</v>
      </c>
      <c r="Z129" s="440">
        <v>9.0299999999999994</v>
      </c>
      <c r="AA129" s="440">
        <v>0</v>
      </c>
      <c r="AB129" s="440">
        <v>0</v>
      </c>
      <c r="AC129" s="440">
        <v>0</v>
      </c>
      <c r="AD129" s="440">
        <v>0</v>
      </c>
      <c r="AE129" s="440">
        <v>0</v>
      </c>
      <c r="AF129" s="440">
        <v>9.08</v>
      </c>
      <c r="AH129" s="269"/>
    </row>
    <row r="130" spans="1:34">
      <c r="A130" s="346" t="s">
        <v>1777</v>
      </c>
      <c r="B130" s="346">
        <v>122</v>
      </c>
      <c r="C130" s="346"/>
      <c r="D130" s="346"/>
      <c r="E130" s="346"/>
      <c r="F130" s="346"/>
      <c r="G130" s="346" t="s">
        <v>1941</v>
      </c>
      <c r="H130" s="346" t="s">
        <v>1850</v>
      </c>
      <c r="I130" s="346" t="s">
        <v>1861</v>
      </c>
      <c r="J130" s="346" t="s">
        <v>1851</v>
      </c>
      <c r="K130" s="346" t="s">
        <v>1852</v>
      </c>
      <c r="L130" s="346" t="s">
        <v>1868</v>
      </c>
      <c r="M130" s="346" t="s">
        <v>1864</v>
      </c>
      <c r="N130" s="440">
        <v>0</v>
      </c>
      <c r="O130" s="440">
        <v>0</v>
      </c>
      <c r="P130" s="440">
        <v>0</v>
      </c>
      <c r="Q130" s="440">
        <v>0</v>
      </c>
      <c r="R130" s="440">
        <v>0</v>
      </c>
      <c r="S130" s="440">
        <v>0</v>
      </c>
      <c r="T130" s="440">
        <v>0</v>
      </c>
      <c r="U130" s="440">
        <v>0</v>
      </c>
      <c r="V130" s="440">
        <v>0</v>
      </c>
      <c r="W130" s="440">
        <v>0</v>
      </c>
      <c r="X130" s="440">
        <v>0</v>
      </c>
      <c r="Y130" s="440">
        <v>0</v>
      </c>
      <c r="Z130" s="440">
        <v>0</v>
      </c>
      <c r="AA130" s="440">
        <v>0</v>
      </c>
      <c r="AB130" s="440">
        <v>0</v>
      </c>
      <c r="AC130" s="440">
        <v>0</v>
      </c>
      <c r="AD130" s="440">
        <v>0</v>
      </c>
      <c r="AE130" s="440">
        <v>0</v>
      </c>
      <c r="AF130" s="440">
        <v>0</v>
      </c>
      <c r="AH130" s="269"/>
    </row>
    <row r="131" spans="1:34">
      <c r="A131" s="346" t="s">
        <v>1777</v>
      </c>
      <c r="B131" s="346">
        <v>123</v>
      </c>
      <c r="C131" s="346"/>
      <c r="D131" s="346"/>
      <c r="E131" s="346"/>
      <c r="F131" s="346"/>
      <c r="G131" s="346" t="s">
        <v>1941</v>
      </c>
      <c r="H131" s="346" t="s">
        <v>1850</v>
      </c>
      <c r="I131" s="346" t="s">
        <v>1856</v>
      </c>
      <c r="J131" s="346" t="s">
        <v>1851</v>
      </c>
      <c r="K131" s="346" t="s">
        <v>1852</v>
      </c>
      <c r="L131" s="346" t="s">
        <v>1868</v>
      </c>
      <c r="M131" s="346" t="s">
        <v>1863</v>
      </c>
      <c r="N131" s="440">
        <v>0</v>
      </c>
      <c r="O131" s="440">
        <v>0</v>
      </c>
      <c r="P131" s="440">
        <v>0</v>
      </c>
      <c r="Q131" s="440">
        <v>0</v>
      </c>
      <c r="R131" s="440">
        <v>0</v>
      </c>
      <c r="S131" s="440">
        <v>0</v>
      </c>
      <c r="T131" s="440">
        <v>0</v>
      </c>
      <c r="U131" s="440">
        <v>0</v>
      </c>
      <c r="V131" s="440">
        <v>0</v>
      </c>
      <c r="W131" s="440">
        <v>0</v>
      </c>
      <c r="X131" s="440">
        <v>0</v>
      </c>
      <c r="Y131" s="440">
        <v>0</v>
      </c>
      <c r="Z131" s="440">
        <v>0</v>
      </c>
      <c r="AA131" s="440">
        <v>0</v>
      </c>
      <c r="AB131" s="440">
        <v>0</v>
      </c>
      <c r="AC131" s="440">
        <v>0</v>
      </c>
      <c r="AD131" s="440">
        <v>0</v>
      </c>
      <c r="AE131" s="440">
        <v>0</v>
      </c>
      <c r="AF131" s="440">
        <v>0</v>
      </c>
      <c r="AH131" s="269"/>
    </row>
    <row r="132" spans="1:34">
      <c r="A132" s="346" t="s">
        <v>1777</v>
      </c>
      <c r="B132" s="346">
        <v>124</v>
      </c>
      <c r="C132" s="346"/>
      <c r="D132" s="346"/>
      <c r="E132" s="346"/>
      <c r="F132" s="346"/>
      <c r="G132" s="346" t="s">
        <v>1942</v>
      </c>
      <c r="H132" s="346" t="s">
        <v>1850</v>
      </c>
      <c r="I132" s="346" t="s">
        <v>1861</v>
      </c>
      <c r="J132" s="346" t="s">
        <v>1857</v>
      </c>
      <c r="K132" s="346" t="s">
        <v>1852</v>
      </c>
      <c r="L132" s="346" t="s">
        <v>1868</v>
      </c>
      <c r="M132" s="346" t="s">
        <v>1864</v>
      </c>
      <c r="N132" s="440">
        <v>0</v>
      </c>
      <c r="O132" s="440">
        <v>70</v>
      </c>
      <c r="P132" s="440">
        <v>70</v>
      </c>
      <c r="Q132" s="440">
        <v>0</v>
      </c>
      <c r="R132" s="440">
        <v>131.04</v>
      </c>
      <c r="S132" s="440">
        <v>0</v>
      </c>
      <c r="T132" s="440">
        <v>131.04</v>
      </c>
      <c r="U132" s="440">
        <v>0</v>
      </c>
      <c r="V132" s="440">
        <v>0</v>
      </c>
      <c r="W132" s="440">
        <v>131.04</v>
      </c>
      <c r="X132" s="440">
        <v>0</v>
      </c>
      <c r="Y132" s="440">
        <v>0</v>
      </c>
      <c r="Z132" s="440">
        <v>0</v>
      </c>
      <c r="AA132" s="440">
        <v>0</v>
      </c>
      <c r="AB132" s="440">
        <v>0</v>
      </c>
      <c r="AC132" s="440">
        <v>0</v>
      </c>
      <c r="AD132" s="440">
        <v>0</v>
      </c>
      <c r="AE132" s="440">
        <v>0</v>
      </c>
      <c r="AF132" s="440">
        <v>131.04</v>
      </c>
      <c r="AH132" s="269"/>
    </row>
    <row r="133" spans="1:34">
      <c r="A133" s="346" t="s">
        <v>1777</v>
      </c>
      <c r="B133" s="346">
        <v>125</v>
      </c>
      <c r="C133" s="346"/>
      <c r="D133" s="346"/>
      <c r="E133" s="346"/>
      <c r="F133" s="346"/>
      <c r="G133" s="346" t="s">
        <v>1943</v>
      </c>
      <c r="H133" s="346" t="s">
        <v>1944</v>
      </c>
      <c r="I133" s="346" t="s">
        <v>1944</v>
      </c>
      <c r="J133" s="346" t="s">
        <v>1887</v>
      </c>
      <c r="K133" s="346" t="s">
        <v>1852</v>
      </c>
      <c r="L133" s="346">
        <v>0</v>
      </c>
      <c r="M133" s="346">
        <v>0</v>
      </c>
      <c r="N133" s="440">
        <v>0</v>
      </c>
      <c r="O133" s="440">
        <v>148750.68100000001</v>
      </c>
      <c r="P133" s="440">
        <v>148750.68100000001</v>
      </c>
      <c r="Q133" s="440">
        <v>1275420.19</v>
      </c>
      <c r="R133" s="440">
        <v>0</v>
      </c>
      <c r="S133" s="440">
        <v>25397.510000000002</v>
      </c>
      <c r="T133" s="440">
        <v>1300817.7</v>
      </c>
      <c r="U133" s="440">
        <v>1275420.19</v>
      </c>
      <c r="V133" s="440">
        <v>0</v>
      </c>
      <c r="W133" s="440">
        <v>0</v>
      </c>
      <c r="X133" s="440">
        <v>0</v>
      </c>
      <c r="Y133" s="440">
        <v>0</v>
      </c>
      <c r="Z133" s="440">
        <v>0</v>
      </c>
      <c r="AA133" s="440">
        <v>0</v>
      </c>
      <c r="AB133" s="440">
        <v>0</v>
      </c>
      <c r="AC133" s="440">
        <v>0</v>
      </c>
      <c r="AD133" s="440">
        <v>25397.510000000002</v>
      </c>
      <c r="AE133" s="440">
        <v>0</v>
      </c>
      <c r="AF133" s="440">
        <v>1300817.7</v>
      </c>
      <c r="AH133" s="269"/>
    </row>
    <row r="134" spans="1:34">
      <c r="A134" s="346" t="s">
        <v>1777</v>
      </c>
      <c r="B134" s="346">
        <v>126</v>
      </c>
      <c r="C134" s="346"/>
      <c r="D134" s="346"/>
      <c r="E134" s="346"/>
      <c r="F134" s="346"/>
      <c r="G134" s="346" t="s">
        <v>1945</v>
      </c>
      <c r="H134" s="346" t="s">
        <v>1849</v>
      </c>
      <c r="I134" s="346" t="s">
        <v>1850</v>
      </c>
      <c r="J134" s="346" t="s">
        <v>1851</v>
      </c>
      <c r="K134" s="346" t="s">
        <v>1852</v>
      </c>
      <c r="L134" s="346" t="s">
        <v>1853</v>
      </c>
      <c r="M134" s="346" t="s">
        <v>1854</v>
      </c>
      <c r="N134" s="440">
        <v>0</v>
      </c>
      <c r="O134" s="440">
        <v>220</v>
      </c>
      <c r="P134" s="440">
        <v>220</v>
      </c>
      <c r="Q134" s="440">
        <v>3909.2699999999995</v>
      </c>
      <c r="R134" s="440">
        <v>50.580920000000006</v>
      </c>
      <c r="S134" s="440">
        <v>0</v>
      </c>
      <c r="T134" s="440">
        <v>3959.8509199999994</v>
      </c>
      <c r="U134" s="440">
        <v>0</v>
      </c>
      <c r="V134" s="440">
        <v>0</v>
      </c>
      <c r="W134" s="440">
        <v>50.580920000000006</v>
      </c>
      <c r="X134" s="440">
        <v>22.75</v>
      </c>
      <c r="Y134" s="440">
        <v>0</v>
      </c>
      <c r="Z134" s="440">
        <v>0</v>
      </c>
      <c r="AA134" s="440">
        <v>3886.5199999999995</v>
      </c>
      <c r="AB134" s="440">
        <v>0</v>
      </c>
      <c r="AC134" s="440">
        <v>0</v>
      </c>
      <c r="AD134" s="440">
        <v>0</v>
      </c>
      <c r="AE134" s="440">
        <v>0</v>
      </c>
      <c r="AF134" s="440">
        <v>3959.8509199999994</v>
      </c>
      <c r="AH134" s="269"/>
    </row>
    <row r="135" spans="1:34">
      <c r="A135" s="346" t="s">
        <v>1777</v>
      </c>
      <c r="B135" s="346">
        <v>127</v>
      </c>
      <c r="C135" s="346"/>
      <c r="D135" s="346"/>
      <c r="E135" s="346"/>
      <c r="F135" s="346"/>
      <c r="G135" s="346" t="s">
        <v>1945</v>
      </c>
      <c r="H135" s="346" t="s">
        <v>1856</v>
      </c>
      <c r="I135" s="346" t="s">
        <v>1861</v>
      </c>
      <c r="J135" s="346" t="s">
        <v>1851</v>
      </c>
      <c r="K135" s="346" t="s">
        <v>1852</v>
      </c>
      <c r="L135" s="346" t="s">
        <v>1863</v>
      </c>
      <c r="M135" s="346" t="s">
        <v>1864</v>
      </c>
      <c r="N135" s="440">
        <v>0</v>
      </c>
      <c r="O135" s="440">
        <v>314</v>
      </c>
      <c r="P135" s="440">
        <v>314</v>
      </c>
      <c r="Q135" s="440">
        <v>2681.5599999999995</v>
      </c>
      <c r="R135" s="440">
        <v>0</v>
      </c>
      <c r="S135" s="440">
        <v>0</v>
      </c>
      <c r="T135" s="440">
        <v>2681.5599999999995</v>
      </c>
      <c r="U135" s="440">
        <v>0</v>
      </c>
      <c r="V135" s="440">
        <v>0</v>
      </c>
      <c r="W135" s="440">
        <v>0</v>
      </c>
      <c r="X135" s="440">
        <v>15.6</v>
      </c>
      <c r="Y135" s="440">
        <v>0</v>
      </c>
      <c r="Z135" s="440">
        <v>0</v>
      </c>
      <c r="AA135" s="440">
        <v>2665.9599999999996</v>
      </c>
      <c r="AB135" s="440">
        <v>0</v>
      </c>
      <c r="AC135" s="440">
        <v>0</v>
      </c>
      <c r="AD135" s="440">
        <v>0</v>
      </c>
      <c r="AE135" s="440">
        <v>0</v>
      </c>
      <c r="AF135" s="440">
        <v>2681.5599999999995</v>
      </c>
      <c r="AH135" s="269"/>
    </row>
    <row r="136" spans="1:34">
      <c r="A136" s="346" t="s">
        <v>1777</v>
      </c>
      <c r="B136" s="346">
        <v>128</v>
      </c>
      <c r="C136" s="346"/>
      <c r="D136" s="346"/>
      <c r="E136" s="346"/>
      <c r="F136" s="346"/>
      <c r="G136" s="346" t="s">
        <v>1945</v>
      </c>
      <c r="H136" s="346" t="s">
        <v>1850</v>
      </c>
      <c r="I136" s="346" t="s">
        <v>1861</v>
      </c>
      <c r="J136" s="346" t="s">
        <v>1851</v>
      </c>
      <c r="K136" s="346" t="s">
        <v>1852</v>
      </c>
      <c r="L136" s="346" t="s">
        <v>1868</v>
      </c>
      <c r="M136" s="346" t="s">
        <v>1864</v>
      </c>
      <c r="N136" s="440">
        <v>0</v>
      </c>
      <c r="O136" s="440">
        <v>12162</v>
      </c>
      <c r="P136" s="440">
        <v>12162</v>
      </c>
      <c r="Q136" s="440">
        <v>131578.96000000002</v>
      </c>
      <c r="R136" s="440">
        <v>381.64</v>
      </c>
      <c r="S136" s="440">
        <v>0</v>
      </c>
      <c r="T136" s="440">
        <v>131960.60000000003</v>
      </c>
      <c r="U136" s="440">
        <v>0</v>
      </c>
      <c r="V136" s="440">
        <v>0</v>
      </c>
      <c r="W136" s="440">
        <v>381.64</v>
      </c>
      <c r="X136" s="440">
        <v>765.41</v>
      </c>
      <c r="Y136" s="440">
        <v>0</v>
      </c>
      <c r="Z136" s="440">
        <v>0</v>
      </c>
      <c r="AA136" s="440">
        <v>130813.55</v>
      </c>
      <c r="AB136" s="440">
        <v>0</v>
      </c>
      <c r="AC136" s="440">
        <v>0</v>
      </c>
      <c r="AD136" s="440">
        <v>0</v>
      </c>
      <c r="AE136" s="440">
        <v>0</v>
      </c>
      <c r="AF136" s="440">
        <v>131960.6</v>
      </c>
      <c r="AH136" s="269"/>
    </row>
    <row r="137" spans="1:34">
      <c r="A137" s="346" t="s">
        <v>1777</v>
      </c>
      <c r="B137" s="346">
        <v>129</v>
      </c>
      <c r="C137" s="346"/>
      <c r="D137" s="346"/>
      <c r="E137" s="346"/>
      <c r="F137" s="346"/>
      <c r="G137" s="346" t="s">
        <v>1945</v>
      </c>
      <c r="H137" s="346" t="s">
        <v>1850</v>
      </c>
      <c r="I137" s="346" t="s">
        <v>1856</v>
      </c>
      <c r="J137" s="346" t="s">
        <v>1851</v>
      </c>
      <c r="K137" s="346" t="s">
        <v>1852</v>
      </c>
      <c r="L137" s="346" t="s">
        <v>1868</v>
      </c>
      <c r="M137" s="346" t="s">
        <v>1858</v>
      </c>
      <c r="N137" s="440">
        <v>0</v>
      </c>
      <c r="O137" s="440">
        <v>4583</v>
      </c>
      <c r="P137" s="440">
        <v>4583</v>
      </c>
      <c r="Q137" s="440">
        <v>34537.269999999997</v>
      </c>
      <c r="R137" s="440">
        <v>17127.849999999999</v>
      </c>
      <c r="S137" s="440">
        <v>0</v>
      </c>
      <c r="T137" s="440">
        <v>51665.119999999995</v>
      </c>
      <c r="U137" s="440">
        <v>0</v>
      </c>
      <c r="V137" s="440">
        <v>0</v>
      </c>
      <c r="W137" s="440">
        <v>17127.849999999999</v>
      </c>
      <c r="X137" s="440">
        <v>200.99</v>
      </c>
      <c r="Y137" s="440">
        <v>0</v>
      </c>
      <c r="Z137" s="440">
        <v>0</v>
      </c>
      <c r="AA137" s="440">
        <v>34336.28</v>
      </c>
      <c r="AB137" s="440">
        <v>0</v>
      </c>
      <c r="AC137" s="440">
        <v>0</v>
      </c>
      <c r="AD137" s="440">
        <v>0</v>
      </c>
      <c r="AE137" s="440">
        <v>0</v>
      </c>
      <c r="AF137" s="440">
        <v>51665.119999999995</v>
      </c>
      <c r="AH137" s="269"/>
    </row>
    <row r="138" spans="1:34">
      <c r="A138" s="346" t="s">
        <v>1777</v>
      </c>
      <c r="B138" s="346">
        <v>130</v>
      </c>
      <c r="C138" s="346"/>
      <c r="D138" s="346"/>
      <c r="E138" s="346"/>
      <c r="F138" s="346"/>
      <c r="G138" s="346" t="s">
        <v>1945</v>
      </c>
      <c r="H138" s="346" t="s">
        <v>1850</v>
      </c>
      <c r="I138" s="346" t="s">
        <v>1850</v>
      </c>
      <c r="J138" s="346" t="s">
        <v>1851</v>
      </c>
      <c r="K138" s="346" t="s">
        <v>1852</v>
      </c>
      <c r="L138" s="346" t="s">
        <v>1868</v>
      </c>
      <c r="M138" s="346" t="s">
        <v>1868</v>
      </c>
      <c r="N138" s="440">
        <v>0</v>
      </c>
      <c r="O138" s="440">
        <v>182</v>
      </c>
      <c r="P138" s="440">
        <v>182</v>
      </c>
      <c r="Q138" s="440">
        <v>1470.0099999999998</v>
      </c>
      <c r="R138" s="440">
        <v>0</v>
      </c>
      <c r="S138" s="440">
        <v>0</v>
      </c>
      <c r="T138" s="440">
        <v>1470.0099999999998</v>
      </c>
      <c r="U138" s="440">
        <v>0</v>
      </c>
      <c r="V138" s="440">
        <v>0</v>
      </c>
      <c r="W138" s="440">
        <v>0</v>
      </c>
      <c r="X138" s="440">
        <v>8.5500000000000007</v>
      </c>
      <c r="Y138" s="440">
        <v>0</v>
      </c>
      <c r="Z138" s="440">
        <v>0</v>
      </c>
      <c r="AA138" s="440">
        <v>1461.4599999999998</v>
      </c>
      <c r="AB138" s="440">
        <v>0</v>
      </c>
      <c r="AC138" s="440">
        <v>0</v>
      </c>
      <c r="AD138" s="440">
        <v>0</v>
      </c>
      <c r="AE138" s="440">
        <v>0</v>
      </c>
      <c r="AF138" s="440">
        <v>1470.0099999999998</v>
      </c>
      <c r="AH138" s="269"/>
    </row>
    <row r="139" spans="1:34">
      <c r="A139" s="346" t="s">
        <v>1777</v>
      </c>
      <c r="B139" s="346">
        <v>131</v>
      </c>
      <c r="C139" s="346"/>
      <c r="D139" s="346"/>
      <c r="E139" s="346"/>
      <c r="F139" s="346"/>
      <c r="G139" s="346" t="s">
        <v>1945</v>
      </c>
      <c r="H139" s="346" t="s">
        <v>1861</v>
      </c>
      <c r="I139" s="346" t="s">
        <v>1850</v>
      </c>
      <c r="J139" s="346" t="s">
        <v>1851</v>
      </c>
      <c r="K139" s="346" t="s">
        <v>1852</v>
      </c>
      <c r="L139" s="346" t="s">
        <v>1864</v>
      </c>
      <c r="M139" s="346" t="s">
        <v>1868</v>
      </c>
      <c r="N139" s="440">
        <v>0</v>
      </c>
      <c r="O139" s="440">
        <v>0</v>
      </c>
      <c r="P139" s="440">
        <v>0</v>
      </c>
      <c r="Q139" s="440">
        <v>807.7</v>
      </c>
      <c r="R139" s="440">
        <v>57.44</v>
      </c>
      <c r="S139" s="440">
        <v>0</v>
      </c>
      <c r="T139" s="440">
        <v>865.1400000000001</v>
      </c>
      <c r="U139" s="440">
        <v>0</v>
      </c>
      <c r="V139" s="440">
        <v>0</v>
      </c>
      <c r="W139" s="440">
        <v>57.44</v>
      </c>
      <c r="X139" s="440">
        <v>4.7</v>
      </c>
      <c r="Y139" s="440">
        <v>0</v>
      </c>
      <c r="Z139" s="440">
        <v>0</v>
      </c>
      <c r="AA139" s="440">
        <v>802.99999999999989</v>
      </c>
      <c r="AB139" s="440">
        <v>0</v>
      </c>
      <c r="AC139" s="440">
        <v>0</v>
      </c>
      <c r="AD139" s="440">
        <v>0</v>
      </c>
      <c r="AE139" s="440">
        <v>0</v>
      </c>
      <c r="AF139" s="440">
        <v>865.13999999999987</v>
      </c>
      <c r="AH139" s="269"/>
    </row>
    <row r="140" spans="1:34">
      <c r="A140" s="346" t="s">
        <v>1777</v>
      </c>
      <c r="B140" s="346">
        <v>132</v>
      </c>
      <c r="C140" s="346"/>
      <c r="D140" s="346"/>
      <c r="E140" s="346"/>
      <c r="F140" s="346"/>
      <c r="G140" s="346" t="s">
        <v>1945</v>
      </c>
      <c r="H140" s="346" t="s">
        <v>1856</v>
      </c>
      <c r="I140" s="346" t="s">
        <v>1861</v>
      </c>
      <c r="J140" s="346" t="s">
        <v>1851</v>
      </c>
      <c r="K140" s="346" t="s">
        <v>1852</v>
      </c>
      <c r="L140" s="346" t="s">
        <v>1858</v>
      </c>
      <c r="M140" s="346" t="s">
        <v>1864</v>
      </c>
      <c r="N140" s="440">
        <v>0</v>
      </c>
      <c r="O140" s="440">
        <v>0</v>
      </c>
      <c r="P140" s="440">
        <v>0</v>
      </c>
      <c r="Q140" s="440">
        <v>0</v>
      </c>
      <c r="R140" s="440">
        <v>0</v>
      </c>
      <c r="S140" s="440">
        <v>0</v>
      </c>
      <c r="T140" s="440">
        <v>0</v>
      </c>
      <c r="U140" s="440">
        <v>0</v>
      </c>
      <c r="V140" s="440">
        <v>0</v>
      </c>
      <c r="W140" s="440">
        <v>0</v>
      </c>
      <c r="X140" s="440">
        <v>0</v>
      </c>
      <c r="Y140" s="440">
        <v>0</v>
      </c>
      <c r="Z140" s="440">
        <v>0</v>
      </c>
      <c r="AA140" s="440">
        <v>0</v>
      </c>
      <c r="AB140" s="440">
        <v>0</v>
      </c>
      <c r="AC140" s="440">
        <v>0</v>
      </c>
      <c r="AD140" s="440">
        <v>0</v>
      </c>
      <c r="AE140" s="440">
        <v>0</v>
      </c>
      <c r="AF140" s="440">
        <v>0</v>
      </c>
      <c r="AH140" s="269"/>
    </row>
    <row r="141" spans="1:34">
      <c r="A141" s="346" t="s">
        <v>1777</v>
      </c>
      <c r="B141" s="346">
        <v>133</v>
      </c>
      <c r="C141" s="346"/>
      <c r="D141" s="346"/>
      <c r="E141" s="346"/>
      <c r="F141" s="346"/>
      <c r="G141" s="346" t="s">
        <v>1946</v>
      </c>
      <c r="H141" s="346" t="s">
        <v>1850</v>
      </c>
      <c r="I141" s="346" t="s">
        <v>1850</v>
      </c>
      <c r="J141" s="346" t="s">
        <v>1857</v>
      </c>
      <c r="K141" s="346" t="s">
        <v>1852</v>
      </c>
      <c r="L141" s="346" t="s">
        <v>1868</v>
      </c>
      <c r="M141" s="346" t="s">
        <v>1868</v>
      </c>
      <c r="N141" s="440">
        <v>0</v>
      </c>
      <c r="O141" s="440">
        <v>1223</v>
      </c>
      <c r="P141" s="440">
        <v>1223</v>
      </c>
      <c r="Q141" s="440">
        <v>19635.189999999999</v>
      </c>
      <c r="R141" s="440">
        <v>7180.5054</v>
      </c>
      <c r="S141" s="440">
        <v>0</v>
      </c>
      <c r="T141" s="440">
        <v>26815.695399999997</v>
      </c>
      <c r="U141" s="440">
        <v>0</v>
      </c>
      <c r="V141" s="440">
        <v>0</v>
      </c>
      <c r="W141" s="440">
        <v>7180.5054</v>
      </c>
      <c r="X141" s="440">
        <v>114.25999999999999</v>
      </c>
      <c r="Y141" s="440">
        <v>0</v>
      </c>
      <c r="Z141" s="440">
        <v>19520.93</v>
      </c>
      <c r="AA141" s="440">
        <v>0</v>
      </c>
      <c r="AB141" s="440">
        <v>0</v>
      </c>
      <c r="AC141" s="440">
        <v>0</v>
      </c>
      <c r="AD141" s="440">
        <v>0</v>
      </c>
      <c r="AE141" s="440">
        <v>0</v>
      </c>
      <c r="AF141" s="440">
        <v>26815.695400000001</v>
      </c>
      <c r="AH141" s="269"/>
    </row>
    <row r="142" spans="1:34">
      <c r="A142" s="346" t="s">
        <v>1777</v>
      </c>
      <c r="B142" s="346">
        <v>134</v>
      </c>
      <c r="C142" s="346"/>
      <c r="D142" s="346"/>
      <c r="E142" s="346"/>
      <c r="F142" s="346"/>
      <c r="G142" s="346" t="s">
        <v>1946</v>
      </c>
      <c r="H142" s="346" t="s">
        <v>1856</v>
      </c>
      <c r="I142" s="346" t="s">
        <v>1861</v>
      </c>
      <c r="J142" s="346" t="s">
        <v>1857</v>
      </c>
      <c r="K142" s="346" t="s">
        <v>1852</v>
      </c>
      <c r="L142" s="346" t="s">
        <v>1858</v>
      </c>
      <c r="M142" s="346" t="s">
        <v>1864</v>
      </c>
      <c r="N142" s="440">
        <v>0</v>
      </c>
      <c r="O142" s="440">
        <v>0</v>
      </c>
      <c r="P142" s="440">
        <v>0</v>
      </c>
      <c r="Q142" s="440">
        <v>0</v>
      </c>
      <c r="R142" s="440">
        <v>0</v>
      </c>
      <c r="S142" s="440">
        <v>0</v>
      </c>
      <c r="T142" s="440">
        <v>0</v>
      </c>
      <c r="U142" s="440">
        <v>0</v>
      </c>
      <c r="V142" s="440">
        <v>0</v>
      </c>
      <c r="W142" s="440">
        <v>0</v>
      </c>
      <c r="X142" s="440">
        <v>0</v>
      </c>
      <c r="Y142" s="440">
        <v>0</v>
      </c>
      <c r="Z142" s="440">
        <v>0</v>
      </c>
      <c r="AA142" s="440">
        <v>0</v>
      </c>
      <c r="AB142" s="440">
        <v>0</v>
      </c>
      <c r="AC142" s="440">
        <v>0</v>
      </c>
      <c r="AD142" s="440">
        <v>0</v>
      </c>
      <c r="AE142" s="440">
        <v>0</v>
      </c>
      <c r="AF142" s="440">
        <v>0</v>
      </c>
      <c r="AH142" s="269"/>
    </row>
    <row r="143" spans="1:34">
      <c r="A143" s="346" t="s">
        <v>1777</v>
      </c>
      <c r="B143" s="346">
        <v>135</v>
      </c>
      <c r="C143" s="346"/>
      <c r="D143" s="346"/>
      <c r="E143" s="346"/>
      <c r="F143" s="346"/>
      <c r="G143" s="346" t="s">
        <v>1947</v>
      </c>
      <c r="H143" s="346" t="s">
        <v>1849</v>
      </c>
      <c r="I143" s="346" t="s">
        <v>1856</v>
      </c>
      <c r="J143" s="346" t="s">
        <v>1851</v>
      </c>
      <c r="K143" s="346" t="s">
        <v>1852</v>
      </c>
      <c r="L143" s="346" t="s">
        <v>1948</v>
      </c>
      <c r="M143" s="346" t="s">
        <v>1949</v>
      </c>
      <c r="N143" s="440">
        <v>0</v>
      </c>
      <c r="O143" s="440">
        <v>495</v>
      </c>
      <c r="P143" s="440">
        <v>495</v>
      </c>
      <c r="Q143" s="440">
        <v>4013.1150000000002</v>
      </c>
      <c r="R143" s="440">
        <v>0</v>
      </c>
      <c r="S143" s="440">
        <v>0</v>
      </c>
      <c r="T143" s="440">
        <v>4013.1150000000002</v>
      </c>
      <c r="U143" s="440">
        <v>0</v>
      </c>
      <c r="V143" s="440">
        <v>0</v>
      </c>
      <c r="W143" s="440">
        <v>0</v>
      </c>
      <c r="X143" s="440">
        <v>0</v>
      </c>
      <c r="Y143" s="440">
        <v>0</v>
      </c>
      <c r="Z143" s="440">
        <v>0</v>
      </c>
      <c r="AA143" s="440">
        <v>0</v>
      </c>
      <c r="AB143" s="440">
        <v>0</v>
      </c>
      <c r="AC143" s="440">
        <v>0</v>
      </c>
      <c r="AD143" s="440">
        <v>0</v>
      </c>
      <c r="AE143" s="440">
        <v>0</v>
      </c>
      <c r="AF143" s="440">
        <v>0</v>
      </c>
      <c r="AH143" s="269"/>
    </row>
    <row r="144" spans="1:34">
      <c r="A144" s="346" t="s">
        <v>1777</v>
      </c>
      <c r="B144" s="346">
        <v>136</v>
      </c>
      <c r="C144" s="346"/>
      <c r="D144" s="346"/>
      <c r="E144" s="346"/>
      <c r="F144" s="346"/>
      <c r="G144" s="346" t="s">
        <v>1947</v>
      </c>
      <c r="H144" s="346" t="s">
        <v>1856</v>
      </c>
      <c r="I144" s="346" t="s">
        <v>1849</v>
      </c>
      <c r="J144" s="346" t="s">
        <v>1851</v>
      </c>
      <c r="K144" s="346" t="s">
        <v>1852</v>
      </c>
      <c r="L144" s="346" t="s">
        <v>1858</v>
      </c>
      <c r="M144" s="346" t="s">
        <v>1948</v>
      </c>
      <c r="N144" s="440">
        <v>0</v>
      </c>
      <c r="O144" s="440">
        <v>972</v>
      </c>
      <c r="P144" s="440">
        <v>972</v>
      </c>
      <c r="Q144" s="440">
        <v>8342.8439999999991</v>
      </c>
      <c r="R144" s="440">
        <v>0</v>
      </c>
      <c r="S144" s="440">
        <v>0</v>
      </c>
      <c r="T144" s="440">
        <v>8342.8439999999991</v>
      </c>
      <c r="U144" s="440">
        <v>0</v>
      </c>
      <c r="V144" s="440">
        <v>0</v>
      </c>
      <c r="W144" s="440">
        <v>0</v>
      </c>
      <c r="X144" s="440">
        <v>0</v>
      </c>
      <c r="Y144" s="440">
        <v>0</v>
      </c>
      <c r="Z144" s="440">
        <v>0</v>
      </c>
      <c r="AA144" s="440">
        <v>0</v>
      </c>
      <c r="AB144" s="440">
        <v>0</v>
      </c>
      <c r="AC144" s="440">
        <v>0</v>
      </c>
      <c r="AD144" s="440">
        <v>0</v>
      </c>
      <c r="AE144" s="440">
        <v>0</v>
      </c>
      <c r="AF144" s="440">
        <v>0</v>
      </c>
      <c r="AH144" s="269"/>
    </row>
    <row r="145" spans="1:34">
      <c r="A145" s="346" t="s">
        <v>1777</v>
      </c>
      <c r="B145" s="346">
        <v>137</v>
      </c>
      <c r="C145" s="346"/>
      <c r="D145" s="346"/>
      <c r="E145" s="346"/>
      <c r="F145" s="346"/>
      <c r="G145" s="346" t="s">
        <v>1947</v>
      </c>
      <c r="H145" s="346" t="s">
        <v>1856</v>
      </c>
      <c r="I145" s="346" t="s">
        <v>1856</v>
      </c>
      <c r="J145" s="346" t="s">
        <v>1851</v>
      </c>
      <c r="K145" s="346" t="s">
        <v>1852</v>
      </c>
      <c r="L145" s="346" t="s">
        <v>1864</v>
      </c>
      <c r="M145" s="346" t="s">
        <v>1858</v>
      </c>
      <c r="N145" s="440">
        <v>0</v>
      </c>
      <c r="O145" s="440">
        <v>480</v>
      </c>
      <c r="P145" s="440">
        <v>480</v>
      </c>
      <c r="Q145" s="440">
        <v>3876.9599999999996</v>
      </c>
      <c r="R145" s="440">
        <v>0</v>
      </c>
      <c r="S145" s="440">
        <v>0</v>
      </c>
      <c r="T145" s="440">
        <v>3876.9599999999996</v>
      </c>
      <c r="U145" s="440">
        <v>0</v>
      </c>
      <c r="V145" s="440">
        <v>0</v>
      </c>
      <c r="W145" s="440">
        <v>0</v>
      </c>
      <c r="X145" s="440">
        <v>0</v>
      </c>
      <c r="Y145" s="440">
        <v>0</v>
      </c>
      <c r="Z145" s="440">
        <v>0</v>
      </c>
      <c r="AA145" s="440">
        <v>0</v>
      </c>
      <c r="AB145" s="440">
        <v>0</v>
      </c>
      <c r="AC145" s="440">
        <v>0</v>
      </c>
      <c r="AD145" s="440">
        <v>0</v>
      </c>
      <c r="AE145" s="440">
        <v>0</v>
      </c>
      <c r="AF145" s="440">
        <v>0</v>
      </c>
      <c r="AH145" s="269"/>
    </row>
    <row r="146" spans="1:34">
      <c r="A146" s="346" t="s">
        <v>1777</v>
      </c>
      <c r="B146" s="346">
        <v>138</v>
      </c>
      <c r="C146" s="346"/>
      <c r="D146" s="346"/>
      <c r="E146" s="346"/>
      <c r="F146" s="346"/>
      <c r="G146" s="346" t="s">
        <v>1947</v>
      </c>
      <c r="H146" s="346" t="s">
        <v>1906</v>
      </c>
      <c r="I146" s="346" t="s">
        <v>1856</v>
      </c>
      <c r="J146" s="346" t="s">
        <v>1851</v>
      </c>
      <c r="K146" s="346" t="s">
        <v>1852</v>
      </c>
      <c r="L146" s="346" t="s">
        <v>1908</v>
      </c>
      <c r="M146" s="346" t="s">
        <v>1909</v>
      </c>
      <c r="N146" s="440">
        <v>0</v>
      </c>
      <c r="O146" s="440">
        <v>485</v>
      </c>
      <c r="P146" s="440">
        <v>485</v>
      </c>
      <c r="Q146" s="440">
        <v>4110.3490000000002</v>
      </c>
      <c r="R146" s="440">
        <v>0</v>
      </c>
      <c r="S146" s="440">
        <v>0</v>
      </c>
      <c r="T146" s="440">
        <v>4110.3490000000002</v>
      </c>
      <c r="U146" s="440">
        <v>0</v>
      </c>
      <c r="V146" s="440">
        <v>0</v>
      </c>
      <c r="W146" s="440">
        <v>0</v>
      </c>
      <c r="X146" s="440">
        <v>0</v>
      </c>
      <c r="Y146" s="440">
        <v>0</v>
      </c>
      <c r="Z146" s="440">
        <v>0</v>
      </c>
      <c r="AA146" s="440">
        <v>0</v>
      </c>
      <c r="AB146" s="440">
        <v>0</v>
      </c>
      <c r="AC146" s="440">
        <v>0</v>
      </c>
      <c r="AD146" s="440">
        <v>0</v>
      </c>
      <c r="AE146" s="440">
        <v>0</v>
      </c>
      <c r="AF146" s="440">
        <v>0</v>
      </c>
      <c r="AH146" s="269"/>
    </row>
    <row r="147" spans="1:34">
      <c r="A147" s="346" t="s">
        <v>1777</v>
      </c>
      <c r="B147" s="346">
        <v>139</v>
      </c>
      <c r="C147" s="346"/>
      <c r="D147" s="346"/>
      <c r="E147" s="346"/>
      <c r="F147" s="346"/>
      <c r="G147" s="346" t="s">
        <v>1947</v>
      </c>
      <c r="H147" s="346" t="s">
        <v>1849</v>
      </c>
      <c r="I147" s="346" t="s">
        <v>1865</v>
      </c>
      <c r="J147" s="346" t="s">
        <v>1851</v>
      </c>
      <c r="K147" s="346" t="s">
        <v>1852</v>
      </c>
      <c r="L147" s="346" t="s">
        <v>1859</v>
      </c>
      <c r="M147" s="346" t="s">
        <v>1866</v>
      </c>
      <c r="N147" s="440">
        <v>0</v>
      </c>
      <c r="O147" s="440">
        <v>9755</v>
      </c>
      <c r="P147" s="440">
        <v>9755</v>
      </c>
      <c r="Q147" s="440">
        <v>78791.134999999995</v>
      </c>
      <c r="R147" s="440">
        <v>0</v>
      </c>
      <c r="S147" s="440">
        <v>0</v>
      </c>
      <c r="T147" s="440">
        <v>78791.134999999995</v>
      </c>
      <c r="U147" s="440">
        <v>0</v>
      </c>
      <c r="V147" s="440">
        <v>0</v>
      </c>
      <c r="W147" s="440">
        <v>0</v>
      </c>
      <c r="X147" s="440">
        <v>0</v>
      </c>
      <c r="Y147" s="440">
        <v>0</v>
      </c>
      <c r="Z147" s="440">
        <v>0</v>
      </c>
      <c r="AA147" s="440">
        <v>0</v>
      </c>
      <c r="AB147" s="440">
        <v>0</v>
      </c>
      <c r="AC147" s="440">
        <v>0</v>
      </c>
      <c r="AD147" s="440">
        <v>0</v>
      </c>
      <c r="AE147" s="440">
        <v>0</v>
      </c>
      <c r="AF147" s="440">
        <v>0</v>
      </c>
      <c r="AH147" s="269"/>
    </row>
    <row r="148" spans="1:34">
      <c r="A148" s="346" t="s">
        <v>1777</v>
      </c>
      <c r="B148" s="346">
        <v>140</v>
      </c>
      <c r="C148" s="346"/>
      <c r="D148" s="346"/>
      <c r="E148" s="346"/>
      <c r="F148" s="346"/>
      <c r="G148" s="346" t="s">
        <v>1947</v>
      </c>
      <c r="H148" s="346" t="s">
        <v>1849</v>
      </c>
      <c r="I148" s="346" t="s">
        <v>1849</v>
      </c>
      <c r="J148" s="346" t="s">
        <v>1851</v>
      </c>
      <c r="K148" s="346" t="s">
        <v>1852</v>
      </c>
      <c r="L148" s="346" t="s">
        <v>1950</v>
      </c>
      <c r="M148" s="346" t="s">
        <v>1859</v>
      </c>
      <c r="N148" s="440">
        <v>0</v>
      </c>
      <c r="O148" s="440">
        <v>1680</v>
      </c>
      <c r="P148" s="440">
        <v>1680</v>
      </c>
      <c r="Q148" s="440">
        <v>15159.359999999997</v>
      </c>
      <c r="R148" s="440">
        <v>0</v>
      </c>
      <c r="S148" s="440">
        <v>0</v>
      </c>
      <c r="T148" s="440">
        <v>15159.359999999997</v>
      </c>
      <c r="U148" s="440">
        <v>0</v>
      </c>
      <c r="V148" s="440">
        <v>0</v>
      </c>
      <c r="W148" s="440">
        <v>0</v>
      </c>
      <c r="X148" s="440">
        <v>0</v>
      </c>
      <c r="Y148" s="440">
        <v>0</v>
      </c>
      <c r="Z148" s="440">
        <v>0</v>
      </c>
      <c r="AA148" s="440">
        <v>0</v>
      </c>
      <c r="AB148" s="440">
        <v>0</v>
      </c>
      <c r="AC148" s="440">
        <v>0</v>
      </c>
      <c r="AD148" s="440">
        <v>0</v>
      </c>
      <c r="AE148" s="440">
        <v>0</v>
      </c>
      <c r="AF148" s="440">
        <v>0</v>
      </c>
      <c r="AH148" s="269"/>
    </row>
    <row r="149" spans="1:34">
      <c r="A149" s="346" t="s">
        <v>1777</v>
      </c>
      <c r="B149" s="346">
        <v>141</v>
      </c>
      <c r="C149" s="346"/>
      <c r="D149" s="346"/>
      <c r="E149" s="346"/>
      <c r="F149" s="346"/>
      <c r="G149" s="346" t="s">
        <v>1951</v>
      </c>
      <c r="H149" s="346">
        <v>0</v>
      </c>
      <c r="I149" s="346">
        <v>0</v>
      </c>
      <c r="J149" s="346">
        <v>0</v>
      </c>
      <c r="K149" s="346">
        <v>0</v>
      </c>
      <c r="L149" s="346">
        <v>0</v>
      </c>
      <c r="M149" s="346">
        <v>0</v>
      </c>
      <c r="N149" s="440">
        <v>0</v>
      </c>
      <c r="O149" s="440">
        <v>0</v>
      </c>
      <c r="P149" s="440">
        <v>0</v>
      </c>
      <c r="Q149" s="440">
        <v>0</v>
      </c>
      <c r="R149" s="440">
        <v>0</v>
      </c>
      <c r="S149" s="440">
        <v>-114293.76299999999</v>
      </c>
      <c r="T149" s="440">
        <v>-114293.76299999999</v>
      </c>
      <c r="U149" s="440">
        <v>0</v>
      </c>
      <c r="V149" s="440">
        <v>0</v>
      </c>
      <c r="W149" s="440">
        <v>0</v>
      </c>
      <c r="X149" s="440">
        <v>0</v>
      </c>
      <c r="Y149" s="440">
        <v>0</v>
      </c>
      <c r="Z149" s="440">
        <v>0</v>
      </c>
      <c r="AA149" s="440">
        <v>0</v>
      </c>
      <c r="AB149" s="440">
        <v>0</v>
      </c>
      <c r="AC149" s="440">
        <v>0</v>
      </c>
      <c r="AD149" s="440">
        <v>-114293.76299999999</v>
      </c>
      <c r="AE149" s="440">
        <v>0</v>
      </c>
      <c r="AF149" s="440">
        <v>-114293.76299999999</v>
      </c>
      <c r="AH149" s="269"/>
    </row>
    <row r="150" spans="1:34">
      <c r="A150" s="346" t="s">
        <v>1777</v>
      </c>
      <c r="B150" s="346">
        <v>142</v>
      </c>
      <c r="C150" s="346"/>
      <c r="D150" s="346"/>
      <c r="E150" s="346"/>
      <c r="F150" s="346"/>
      <c r="G150" s="346" t="s">
        <v>1952</v>
      </c>
      <c r="H150" s="346" t="s">
        <v>1850</v>
      </c>
      <c r="I150" s="346" t="s">
        <v>1861</v>
      </c>
      <c r="J150" s="346" t="s">
        <v>1851</v>
      </c>
      <c r="K150" s="346" t="s">
        <v>1852</v>
      </c>
      <c r="L150" s="346" t="s">
        <v>1868</v>
      </c>
      <c r="M150" s="346" t="s">
        <v>1864</v>
      </c>
      <c r="N150" s="440">
        <v>0</v>
      </c>
      <c r="O150" s="440">
        <v>227</v>
      </c>
      <c r="P150" s="440">
        <v>227</v>
      </c>
      <c r="Q150" s="440">
        <v>1833.48</v>
      </c>
      <c r="R150" s="440">
        <v>206.66</v>
      </c>
      <c r="S150" s="440">
        <v>0</v>
      </c>
      <c r="T150" s="440">
        <v>2040.14</v>
      </c>
      <c r="U150" s="440">
        <v>0</v>
      </c>
      <c r="V150" s="440">
        <v>0</v>
      </c>
      <c r="W150" s="440">
        <v>206.66</v>
      </c>
      <c r="X150" s="440">
        <v>10.67</v>
      </c>
      <c r="Y150" s="440">
        <v>0</v>
      </c>
      <c r="Z150" s="440">
        <v>0</v>
      </c>
      <c r="AA150" s="440">
        <v>1822.81</v>
      </c>
      <c r="AB150" s="440">
        <v>0</v>
      </c>
      <c r="AC150" s="440">
        <v>0</v>
      </c>
      <c r="AD150" s="440">
        <v>0</v>
      </c>
      <c r="AE150" s="440">
        <v>0</v>
      </c>
      <c r="AF150" s="440">
        <v>2040.1399999999999</v>
      </c>
      <c r="AH150" s="269"/>
    </row>
    <row r="151" spans="1:34">
      <c r="A151" s="346" t="s">
        <v>1777</v>
      </c>
      <c r="B151" s="346">
        <v>143</v>
      </c>
      <c r="C151" s="346"/>
      <c r="D151" s="346"/>
      <c r="E151" s="346"/>
      <c r="F151" s="346"/>
      <c r="G151" s="346" t="s">
        <v>1952</v>
      </c>
      <c r="H151" s="346" t="s">
        <v>1861</v>
      </c>
      <c r="I151" s="346" t="s">
        <v>1850</v>
      </c>
      <c r="J151" s="346" t="s">
        <v>1851</v>
      </c>
      <c r="K151" s="346" t="s">
        <v>1852</v>
      </c>
      <c r="L151" s="346" t="s">
        <v>1864</v>
      </c>
      <c r="M151" s="346" t="s">
        <v>1868</v>
      </c>
      <c r="N151" s="440">
        <v>0</v>
      </c>
      <c r="O151" s="440">
        <v>107</v>
      </c>
      <c r="P151" s="440">
        <v>107</v>
      </c>
      <c r="Q151" s="440">
        <v>1696.17</v>
      </c>
      <c r="R151" s="440">
        <v>0</v>
      </c>
      <c r="S151" s="440">
        <v>0</v>
      </c>
      <c r="T151" s="440">
        <v>1696.17</v>
      </c>
      <c r="U151" s="440">
        <v>0</v>
      </c>
      <c r="V151" s="440">
        <v>0</v>
      </c>
      <c r="W151" s="440">
        <v>0</v>
      </c>
      <c r="X151" s="440">
        <v>9.8699999999999992</v>
      </c>
      <c r="Y151" s="440">
        <v>0</v>
      </c>
      <c r="Z151" s="440">
        <v>0</v>
      </c>
      <c r="AA151" s="440">
        <v>1686.3</v>
      </c>
      <c r="AB151" s="440">
        <v>0</v>
      </c>
      <c r="AC151" s="440">
        <v>0</v>
      </c>
      <c r="AD151" s="440">
        <v>0</v>
      </c>
      <c r="AE151" s="440">
        <v>0</v>
      </c>
      <c r="AF151" s="440">
        <v>1696.1699999999998</v>
      </c>
      <c r="AH151" s="269"/>
    </row>
    <row r="152" spans="1:34">
      <c r="A152" s="346" t="s">
        <v>1777</v>
      </c>
      <c r="B152" s="346">
        <v>144</v>
      </c>
      <c r="C152" s="346"/>
      <c r="D152" s="346"/>
      <c r="E152" s="346"/>
      <c r="F152" s="346"/>
      <c r="G152" s="346" t="s">
        <v>1952</v>
      </c>
      <c r="H152" s="346" t="s">
        <v>1856</v>
      </c>
      <c r="I152" s="346" t="s">
        <v>1856</v>
      </c>
      <c r="J152" s="346" t="s">
        <v>1851</v>
      </c>
      <c r="K152" s="346" t="s">
        <v>1852</v>
      </c>
      <c r="L152" s="346" t="s">
        <v>1901</v>
      </c>
      <c r="M152" s="346" t="s">
        <v>1858</v>
      </c>
      <c r="N152" s="440">
        <v>0</v>
      </c>
      <c r="O152" s="440">
        <v>0</v>
      </c>
      <c r="P152" s="440">
        <v>0</v>
      </c>
      <c r="Q152" s="440">
        <v>1815.4</v>
      </c>
      <c r="R152" s="440">
        <v>0</v>
      </c>
      <c r="S152" s="440">
        <v>0</v>
      </c>
      <c r="T152" s="440">
        <v>1815.4</v>
      </c>
      <c r="U152" s="440">
        <v>0</v>
      </c>
      <c r="V152" s="440">
        <v>0</v>
      </c>
      <c r="W152" s="440">
        <v>0</v>
      </c>
      <c r="X152" s="440">
        <v>9.4</v>
      </c>
      <c r="Y152" s="440">
        <v>0</v>
      </c>
      <c r="Z152" s="440">
        <v>0</v>
      </c>
      <c r="AA152" s="440">
        <v>1805.9999999999998</v>
      </c>
      <c r="AB152" s="440">
        <v>0</v>
      </c>
      <c r="AC152" s="440">
        <v>0</v>
      </c>
      <c r="AD152" s="440">
        <v>0</v>
      </c>
      <c r="AE152" s="440">
        <v>0</v>
      </c>
      <c r="AF152" s="440">
        <v>1815.3999999999999</v>
      </c>
      <c r="AH152" s="269"/>
    </row>
    <row r="153" spans="1:34">
      <c r="A153" s="346" t="s">
        <v>1777</v>
      </c>
      <c r="B153" s="346">
        <v>145</v>
      </c>
      <c r="C153" s="346"/>
      <c r="D153" s="346"/>
      <c r="E153" s="346"/>
      <c r="F153" s="346"/>
      <c r="G153" s="346" t="s">
        <v>1952</v>
      </c>
      <c r="H153" s="346" t="s">
        <v>1856</v>
      </c>
      <c r="I153" s="346" t="s">
        <v>1850</v>
      </c>
      <c r="J153" s="346" t="s">
        <v>1851</v>
      </c>
      <c r="K153" s="346" t="s">
        <v>1852</v>
      </c>
      <c r="L153" s="346" t="s">
        <v>1858</v>
      </c>
      <c r="M153" s="346" t="s">
        <v>1868</v>
      </c>
      <c r="N153" s="440">
        <v>0</v>
      </c>
      <c r="O153" s="440">
        <v>28</v>
      </c>
      <c r="P153" s="440">
        <v>28</v>
      </c>
      <c r="Q153" s="440">
        <v>1938.48</v>
      </c>
      <c r="R153" s="440">
        <v>1161.47</v>
      </c>
      <c r="S153" s="440">
        <v>0</v>
      </c>
      <c r="T153" s="440">
        <v>3099.95</v>
      </c>
      <c r="U153" s="440">
        <v>0</v>
      </c>
      <c r="V153" s="440">
        <v>0</v>
      </c>
      <c r="W153" s="440">
        <v>1161.47</v>
      </c>
      <c r="X153" s="440">
        <v>11.28</v>
      </c>
      <c r="Y153" s="440">
        <v>0</v>
      </c>
      <c r="Z153" s="440">
        <v>0</v>
      </c>
      <c r="AA153" s="440">
        <v>1927.1999999999998</v>
      </c>
      <c r="AB153" s="440">
        <v>0</v>
      </c>
      <c r="AC153" s="440">
        <v>0</v>
      </c>
      <c r="AD153" s="440">
        <v>0</v>
      </c>
      <c r="AE153" s="440">
        <v>0</v>
      </c>
      <c r="AF153" s="440">
        <v>3099.95</v>
      </c>
      <c r="AH153" s="269"/>
    </row>
    <row r="154" spans="1:34">
      <c r="A154" s="346" t="s">
        <v>1777</v>
      </c>
      <c r="B154" s="346">
        <v>146</v>
      </c>
      <c r="C154" s="346"/>
      <c r="D154" s="346"/>
      <c r="E154" s="346"/>
      <c r="F154" s="346"/>
      <c r="G154" s="346" t="s">
        <v>1952</v>
      </c>
      <c r="H154" s="346" t="s">
        <v>1850</v>
      </c>
      <c r="I154" s="346" t="s">
        <v>1856</v>
      </c>
      <c r="J154" s="346" t="s">
        <v>1851</v>
      </c>
      <c r="K154" s="346" t="s">
        <v>1852</v>
      </c>
      <c r="L154" s="346" t="s">
        <v>1868</v>
      </c>
      <c r="M154" s="346" t="s">
        <v>1901</v>
      </c>
      <c r="N154" s="440">
        <v>0</v>
      </c>
      <c r="O154" s="440">
        <v>0</v>
      </c>
      <c r="P154" s="440">
        <v>0</v>
      </c>
      <c r="Q154" s="440">
        <v>1815.4</v>
      </c>
      <c r="R154" s="440">
        <v>0</v>
      </c>
      <c r="S154" s="440">
        <v>0</v>
      </c>
      <c r="T154" s="440">
        <v>1815.4</v>
      </c>
      <c r="U154" s="440">
        <v>0</v>
      </c>
      <c r="V154" s="440">
        <v>0</v>
      </c>
      <c r="W154" s="440">
        <v>0</v>
      </c>
      <c r="X154" s="440">
        <v>9.4</v>
      </c>
      <c r="Y154" s="440">
        <v>0</v>
      </c>
      <c r="Z154" s="440">
        <v>0</v>
      </c>
      <c r="AA154" s="440">
        <v>1805.9999999999998</v>
      </c>
      <c r="AB154" s="440">
        <v>0</v>
      </c>
      <c r="AC154" s="440">
        <v>0</v>
      </c>
      <c r="AD154" s="440">
        <v>0</v>
      </c>
      <c r="AE154" s="440">
        <v>0</v>
      </c>
      <c r="AF154" s="440">
        <v>1815.3999999999999</v>
      </c>
      <c r="AH154" s="269"/>
    </row>
    <row r="155" spans="1:34">
      <c r="A155" s="346" t="s">
        <v>1777</v>
      </c>
      <c r="B155" s="346">
        <v>147</v>
      </c>
      <c r="C155" s="346"/>
      <c r="D155" s="346"/>
      <c r="E155" s="346"/>
      <c r="F155" s="346"/>
      <c r="G155" s="346" t="s">
        <v>1953</v>
      </c>
      <c r="H155" s="346" t="s">
        <v>1954</v>
      </c>
      <c r="I155" s="346" t="s">
        <v>1954</v>
      </c>
      <c r="J155" s="346" t="s">
        <v>1887</v>
      </c>
      <c r="K155" s="346" t="s">
        <v>1852</v>
      </c>
      <c r="L155" s="346">
        <v>0</v>
      </c>
      <c r="M155" s="346">
        <v>0</v>
      </c>
      <c r="N155" s="440">
        <v>0</v>
      </c>
      <c r="O155" s="440">
        <v>13183.876</v>
      </c>
      <c r="P155" s="440">
        <v>13183.876</v>
      </c>
      <c r="Q155" s="440">
        <v>126707.66999999998</v>
      </c>
      <c r="R155" s="440">
        <v>16302.460000000001</v>
      </c>
      <c r="S155" s="440">
        <v>2159.33</v>
      </c>
      <c r="T155" s="440">
        <v>145169.45999999996</v>
      </c>
      <c r="U155" s="440">
        <v>126707.66999999998</v>
      </c>
      <c r="V155" s="440">
        <v>0</v>
      </c>
      <c r="W155" s="440">
        <v>16302.460000000001</v>
      </c>
      <c r="X155" s="440">
        <v>0</v>
      </c>
      <c r="Y155" s="440">
        <v>0</v>
      </c>
      <c r="Z155" s="440">
        <v>0</v>
      </c>
      <c r="AA155" s="440">
        <v>0</v>
      </c>
      <c r="AB155" s="440">
        <v>0</v>
      </c>
      <c r="AC155" s="440">
        <v>0</v>
      </c>
      <c r="AD155" s="440">
        <v>2159.33</v>
      </c>
      <c r="AE155" s="440">
        <v>0</v>
      </c>
      <c r="AF155" s="440">
        <v>145169.45999999996</v>
      </c>
      <c r="AH155" s="269"/>
    </row>
    <row r="156" spans="1:34">
      <c r="A156" s="346" t="s">
        <v>1777</v>
      </c>
      <c r="B156" s="346">
        <v>148</v>
      </c>
      <c r="C156" s="346"/>
      <c r="D156" s="346"/>
      <c r="E156" s="346"/>
      <c r="F156" s="346"/>
      <c r="G156" s="346" t="s">
        <v>1955</v>
      </c>
      <c r="H156" s="346" t="s">
        <v>1861</v>
      </c>
      <c r="I156" s="346" t="s">
        <v>1850</v>
      </c>
      <c r="J156" s="346" t="s">
        <v>1851</v>
      </c>
      <c r="K156" s="346" t="s">
        <v>1852</v>
      </c>
      <c r="L156" s="346" t="s">
        <v>1864</v>
      </c>
      <c r="M156" s="346" t="s">
        <v>1868</v>
      </c>
      <c r="N156" s="440">
        <v>0</v>
      </c>
      <c r="O156" s="440">
        <v>1424</v>
      </c>
      <c r="P156" s="440">
        <v>1424</v>
      </c>
      <c r="Q156" s="440">
        <v>14199.37</v>
      </c>
      <c r="R156" s="440">
        <v>1419.99</v>
      </c>
      <c r="S156" s="440">
        <v>0</v>
      </c>
      <c r="T156" s="440">
        <v>15619.36</v>
      </c>
      <c r="U156" s="440">
        <v>0</v>
      </c>
      <c r="V156" s="440">
        <v>0</v>
      </c>
      <c r="W156" s="440">
        <v>1419.99</v>
      </c>
      <c r="X156" s="440">
        <v>82.63</v>
      </c>
      <c r="Y156" s="440">
        <v>0</v>
      </c>
      <c r="Z156" s="440">
        <v>0</v>
      </c>
      <c r="AA156" s="440">
        <v>14116.739999999998</v>
      </c>
      <c r="AB156" s="440">
        <v>0</v>
      </c>
      <c r="AC156" s="440">
        <v>0</v>
      </c>
      <c r="AD156" s="440">
        <v>0</v>
      </c>
      <c r="AE156" s="440">
        <v>0</v>
      </c>
      <c r="AF156" s="440">
        <v>15619.359999999997</v>
      </c>
      <c r="AH156" s="269"/>
    </row>
    <row r="157" spans="1:34">
      <c r="A157" s="346" t="s">
        <v>1777</v>
      </c>
      <c r="B157" s="346">
        <v>149</v>
      </c>
      <c r="C157" s="346"/>
      <c r="D157" s="346"/>
      <c r="E157" s="346"/>
      <c r="F157" s="346"/>
      <c r="G157" s="346" t="s">
        <v>1955</v>
      </c>
      <c r="H157" s="346" t="s">
        <v>1849</v>
      </c>
      <c r="I157" s="346" t="s">
        <v>1850</v>
      </c>
      <c r="J157" s="346" t="s">
        <v>1851</v>
      </c>
      <c r="K157" s="346" t="s">
        <v>1852</v>
      </c>
      <c r="L157" s="346" t="s">
        <v>1853</v>
      </c>
      <c r="M157" s="346" t="s">
        <v>1854</v>
      </c>
      <c r="N157" s="440">
        <v>0</v>
      </c>
      <c r="O157" s="440">
        <v>761</v>
      </c>
      <c r="P157" s="440">
        <v>761</v>
      </c>
      <c r="Q157" s="440">
        <v>44391.159999999996</v>
      </c>
      <c r="R157" s="440">
        <v>391.13715999999999</v>
      </c>
      <c r="S157" s="440">
        <v>0</v>
      </c>
      <c r="T157" s="440">
        <v>44782.297159999995</v>
      </c>
      <c r="U157" s="440">
        <v>0</v>
      </c>
      <c r="V157" s="440">
        <v>0</v>
      </c>
      <c r="W157" s="440">
        <v>391.13715999999999</v>
      </c>
      <c r="X157" s="440">
        <v>337.26</v>
      </c>
      <c r="Y157" s="440">
        <v>0</v>
      </c>
      <c r="Z157" s="440">
        <v>0</v>
      </c>
      <c r="AA157" s="440">
        <v>44053.9</v>
      </c>
      <c r="AB157" s="440">
        <v>0</v>
      </c>
      <c r="AC157" s="440">
        <v>0</v>
      </c>
      <c r="AD157" s="440">
        <v>0</v>
      </c>
      <c r="AE157" s="440">
        <v>0</v>
      </c>
      <c r="AF157" s="440">
        <v>44782.297160000002</v>
      </c>
      <c r="AH157" s="269"/>
    </row>
    <row r="158" spans="1:34">
      <c r="A158" s="346" t="s">
        <v>1777</v>
      </c>
      <c r="B158" s="346">
        <v>150</v>
      </c>
      <c r="C158" s="346"/>
      <c r="D158" s="346"/>
      <c r="E158" s="346"/>
      <c r="F158" s="346"/>
      <c r="G158" s="346" t="s">
        <v>1955</v>
      </c>
      <c r="H158" s="346" t="s">
        <v>1850</v>
      </c>
      <c r="I158" s="346" t="s">
        <v>1861</v>
      </c>
      <c r="J158" s="346" t="s">
        <v>1851</v>
      </c>
      <c r="K158" s="346" t="s">
        <v>1852</v>
      </c>
      <c r="L158" s="346" t="s">
        <v>1868</v>
      </c>
      <c r="M158" s="346" t="s">
        <v>1864</v>
      </c>
      <c r="N158" s="440">
        <v>0</v>
      </c>
      <c r="O158" s="440">
        <v>0</v>
      </c>
      <c r="P158" s="440">
        <v>0</v>
      </c>
      <c r="Q158" s="440">
        <v>387.69999999999993</v>
      </c>
      <c r="R158" s="440">
        <v>0</v>
      </c>
      <c r="S158" s="440">
        <v>0</v>
      </c>
      <c r="T158" s="440">
        <v>387.69999999999993</v>
      </c>
      <c r="U158" s="440">
        <v>0</v>
      </c>
      <c r="V158" s="440">
        <v>0</v>
      </c>
      <c r="W158" s="440">
        <v>0</v>
      </c>
      <c r="X158" s="440">
        <v>2.2599999999999998</v>
      </c>
      <c r="Y158" s="440">
        <v>0</v>
      </c>
      <c r="Z158" s="440">
        <v>0</v>
      </c>
      <c r="AA158" s="440">
        <v>385.43999999999994</v>
      </c>
      <c r="AB158" s="440">
        <v>0</v>
      </c>
      <c r="AC158" s="440">
        <v>0</v>
      </c>
      <c r="AD158" s="440">
        <v>0</v>
      </c>
      <c r="AE158" s="440">
        <v>0</v>
      </c>
      <c r="AF158" s="440">
        <v>387.69999999999993</v>
      </c>
      <c r="AH158" s="269"/>
    </row>
    <row r="159" spans="1:34">
      <c r="A159" s="346" t="s">
        <v>1777</v>
      </c>
      <c r="B159" s="346">
        <v>151</v>
      </c>
      <c r="C159" s="346"/>
      <c r="D159" s="346"/>
      <c r="E159" s="346"/>
      <c r="F159" s="346"/>
      <c r="G159" s="346" t="s">
        <v>1955</v>
      </c>
      <c r="H159" s="346" t="s">
        <v>1850</v>
      </c>
      <c r="I159" s="346" t="s">
        <v>1856</v>
      </c>
      <c r="J159" s="346" t="s">
        <v>1851</v>
      </c>
      <c r="K159" s="346" t="s">
        <v>1852</v>
      </c>
      <c r="L159" s="346" t="s">
        <v>1868</v>
      </c>
      <c r="M159" s="346" t="s">
        <v>1858</v>
      </c>
      <c r="N159" s="440">
        <v>0</v>
      </c>
      <c r="O159" s="440">
        <v>1026</v>
      </c>
      <c r="P159" s="440">
        <v>1026</v>
      </c>
      <c r="Q159" s="440">
        <v>5718.5199999999995</v>
      </c>
      <c r="R159" s="440">
        <v>5344.3365100000001</v>
      </c>
      <c r="S159" s="440">
        <v>0</v>
      </c>
      <c r="T159" s="440">
        <v>11062.85651</v>
      </c>
      <c r="U159" s="440">
        <v>0</v>
      </c>
      <c r="V159" s="440">
        <v>0</v>
      </c>
      <c r="W159" s="440">
        <v>5344.3365100000001</v>
      </c>
      <c r="X159" s="440">
        <v>33.28</v>
      </c>
      <c r="Y159" s="440">
        <v>0</v>
      </c>
      <c r="Z159" s="440">
        <v>0</v>
      </c>
      <c r="AA159" s="440">
        <v>5685.24</v>
      </c>
      <c r="AB159" s="440">
        <v>0</v>
      </c>
      <c r="AC159" s="440">
        <v>0</v>
      </c>
      <c r="AD159" s="440">
        <v>0</v>
      </c>
      <c r="AE159" s="440">
        <v>0</v>
      </c>
      <c r="AF159" s="440">
        <v>11062.85651</v>
      </c>
      <c r="AH159" s="269"/>
    </row>
    <row r="160" spans="1:34">
      <c r="A160" s="346" t="s">
        <v>1777</v>
      </c>
      <c r="B160" s="346">
        <v>152</v>
      </c>
      <c r="C160" s="346"/>
      <c r="D160" s="346"/>
      <c r="E160" s="346"/>
      <c r="F160" s="346"/>
      <c r="G160" s="346" t="s">
        <v>1955</v>
      </c>
      <c r="H160" s="346" t="s">
        <v>1856</v>
      </c>
      <c r="I160" s="346" t="s">
        <v>1850</v>
      </c>
      <c r="J160" s="346" t="s">
        <v>1851</v>
      </c>
      <c r="K160" s="346" t="s">
        <v>1852</v>
      </c>
      <c r="L160" s="346" t="s">
        <v>1858</v>
      </c>
      <c r="M160" s="346" t="s">
        <v>1868</v>
      </c>
      <c r="N160" s="440">
        <v>0</v>
      </c>
      <c r="O160" s="440">
        <v>805</v>
      </c>
      <c r="P160" s="440">
        <v>805</v>
      </c>
      <c r="Q160" s="440">
        <v>323.08</v>
      </c>
      <c r="R160" s="440">
        <v>541.54999999999995</v>
      </c>
      <c r="S160" s="440">
        <v>0</v>
      </c>
      <c r="T160" s="440">
        <v>864.62999999999988</v>
      </c>
      <c r="U160" s="440">
        <v>0</v>
      </c>
      <c r="V160" s="440">
        <v>0</v>
      </c>
      <c r="W160" s="440">
        <v>541.54999999999995</v>
      </c>
      <c r="X160" s="440">
        <v>1.88</v>
      </c>
      <c r="Y160" s="440">
        <v>0</v>
      </c>
      <c r="Z160" s="440">
        <v>0</v>
      </c>
      <c r="AA160" s="440">
        <v>321.2</v>
      </c>
      <c r="AB160" s="440">
        <v>0</v>
      </c>
      <c r="AC160" s="440">
        <v>0</v>
      </c>
      <c r="AD160" s="440">
        <v>0</v>
      </c>
      <c r="AE160" s="440">
        <v>0</v>
      </c>
      <c r="AF160" s="440">
        <v>864.62999999999988</v>
      </c>
      <c r="AH160" s="269"/>
    </row>
    <row r="161" spans="1:34">
      <c r="A161" s="346" t="s">
        <v>1777</v>
      </c>
      <c r="B161" s="346">
        <v>153</v>
      </c>
      <c r="C161" s="346"/>
      <c r="D161" s="346"/>
      <c r="E161" s="346"/>
      <c r="F161" s="346"/>
      <c r="G161" s="346" t="s">
        <v>1955</v>
      </c>
      <c r="H161" s="346" t="s">
        <v>1850</v>
      </c>
      <c r="I161" s="346" t="s">
        <v>1849</v>
      </c>
      <c r="J161" s="346" t="s">
        <v>1851</v>
      </c>
      <c r="K161" s="346" t="s">
        <v>1852</v>
      </c>
      <c r="L161" s="346" t="s">
        <v>1854</v>
      </c>
      <c r="M161" s="346" t="s">
        <v>1853</v>
      </c>
      <c r="N161" s="440">
        <v>0</v>
      </c>
      <c r="O161" s="440">
        <v>0</v>
      </c>
      <c r="P161" s="440">
        <v>0</v>
      </c>
      <c r="Q161" s="440">
        <v>8.08</v>
      </c>
      <c r="R161" s="440">
        <v>0</v>
      </c>
      <c r="S161" s="440">
        <v>0</v>
      </c>
      <c r="T161" s="440">
        <v>8.08</v>
      </c>
      <c r="U161" s="440">
        <v>0</v>
      </c>
      <c r="V161" s="440">
        <v>0</v>
      </c>
      <c r="W161" s="440">
        <v>0</v>
      </c>
      <c r="X161" s="440">
        <v>1320.05</v>
      </c>
      <c r="Y161" s="440">
        <v>0</v>
      </c>
      <c r="Z161" s="440">
        <v>0</v>
      </c>
      <c r="AA161" s="440">
        <v>146968.03</v>
      </c>
      <c r="AB161" s="440">
        <v>0</v>
      </c>
      <c r="AC161" s="440">
        <v>0</v>
      </c>
      <c r="AD161" s="440">
        <v>0</v>
      </c>
      <c r="AE161" s="440">
        <v>0</v>
      </c>
      <c r="AF161" s="440">
        <v>148288.07999999999</v>
      </c>
      <c r="AH161" s="269"/>
    </row>
    <row r="162" spans="1:34">
      <c r="A162" s="346" t="s">
        <v>1777</v>
      </c>
      <c r="B162" s="346">
        <v>154</v>
      </c>
      <c r="C162" s="346"/>
      <c r="D162" s="346"/>
      <c r="E162" s="346"/>
      <c r="F162" s="346"/>
      <c r="G162" s="346" t="s">
        <v>1956</v>
      </c>
      <c r="H162" s="346" t="s">
        <v>1861</v>
      </c>
      <c r="I162" s="346" t="s">
        <v>1856</v>
      </c>
      <c r="J162" s="346" t="s">
        <v>1857</v>
      </c>
      <c r="K162" s="346" t="s">
        <v>1852</v>
      </c>
      <c r="L162" s="346" t="s">
        <v>1864</v>
      </c>
      <c r="M162" s="346" t="s">
        <v>1904</v>
      </c>
      <c r="N162" s="440">
        <v>0</v>
      </c>
      <c r="O162" s="440">
        <v>0</v>
      </c>
      <c r="P162" s="440">
        <v>0</v>
      </c>
      <c r="Q162" s="440">
        <v>25919.8</v>
      </c>
      <c r="R162" s="440">
        <v>0</v>
      </c>
      <c r="S162" s="440">
        <v>0</v>
      </c>
      <c r="T162" s="440">
        <v>25919.8</v>
      </c>
      <c r="U162" s="440">
        <v>0</v>
      </c>
      <c r="V162" s="440">
        <v>0</v>
      </c>
      <c r="W162" s="440">
        <v>0</v>
      </c>
      <c r="X162" s="440">
        <v>225.8</v>
      </c>
      <c r="Y162" s="440">
        <v>0</v>
      </c>
      <c r="Z162" s="440">
        <v>25694</v>
      </c>
      <c r="AA162" s="440">
        <v>0</v>
      </c>
      <c r="AB162" s="440">
        <v>0</v>
      </c>
      <c r="AC162" s="440">
        <v>0</v>
      </c>
      <c r="AD162" s="440">
        <v>0</v>
      </c>
      <c r="AE162" s="440">
        <v>0</v>
      </c>
      <c r="AF162" s="440">
        <v>25919.8</v>
      </c>
      <c r="AH162" s="269"/>
    </row>
    <row r="163" spans="1:34">
      <c r="A163" s="346" t="s">
        <v>1777</v>
      </c>
      <c r="B163" s="346">
        <v>155</v>
      </c>
      <c r="C163" s="346"/>
      <c r="D163" s="346"/>
      <c r="E163" s="346"/>
      <c r="F163" s="346"/>
      <c r="G163" s="346" t="s">
        <v>1956</v>
      </c>
      <c r="H163" s="346" t="s">
        <v>1861</v>
      </c>
      <c r="I163" s="346" t="s">
        <v>1850</v>
      </c>
      <c r="J163" s="346" t="s">
        <v>1857</v>
      </c>
      <c r="K163" s="346" t="s">
        <v>1852</v>
      </c>
      <c r="L163" s="346" t="s">
        <v>1864</v>
      </c>
      <c r="M163" s="346" t="s">
        <v>1868</v>
      </c>
      <c r="N163" s="440">
        <v>0</v>
      </c>
      <c r="O163" s="440">
        <v>12098</v>
      </c>
      <c r="P163" s="440">
        <v>12098</v>
      </c>
      <c r="Q163" s="440">
        <v>141836.48000000001</v>
      </c>
      <c r="R163" s="440">
        <v>0</v>
      </c>
      <c r="S163" s="440">
        <v>0</v>
      </c>
      <c r="T163" s="440">
        <v>141836.48000000001</v>
      </c>
      <c r="U163" s="440">
        <v>0</v>
      </c>
      <c r="V163" s="440">
        <v>0</v>
      </c>
      <c r="W163" s="440">
        <v>0</v>
      </c>
      <c r="X163" s="440">
        <v>953.55000000000007</v>
      </c>
      <c r="Y163" s="440">
        <v>0</v>
      </c>
      <c r="Z163" s="440">
        <v>140882.93</v>
      </c>
      <c r="AA163" s="440">
        <v>0</v>
      </c>
      <c r="AB163" s="440">
        <v>0</v>
      </c>
      <c r="AC163" s="440">
        <v>0</v>
      </c>
      <c r="AD163" s="440">
        <v>0</v>
      </c>
      <c r="AE163" s="440">
        <v>0</v>
      </c>
      <c r="AF163" s="440">
        <v>141836.47999999998</v>
      </c>
      <c r="AH163" s="269"/>
    </row>
    <row r="164" spans="1:34">
      <c r="A164" s="346" t="s">
        <v>1777</v>
      </c>
      <c r="B164" s="346">
        <v>156</v>
      </c>
      <c r="C164" s="346"/>
      <c r="D164" s="346"/>
      <c r="E164" s="346"/>
      <c r="F164" s="346"/>
      <c r="G164" s="346" t="s">
        <v>1956</v>
      </c>
      <c r="H164" s="346" t="s">
        <v>1856</v>
      </c>
      <c r="I164" s="346" t="s">
        <v>1850</v>
      </c>
      <c r="J164" s="346" t="s">
        <v>1857</v>
      </c>
      <c r="K164" s="346" t="s">
        <v>1852</v>
      </c>
      <c r="L164" s="346" t="s">
        <v>1858</v>
      </c>
      <c r="M164" s="346" t="s">
        <v>1868</v>
      </c>
      <c r="N164" s="440">
        <v>0</v>
      </c>
      <c r="O164" s="440">
        <v>424</v>
      </c>
      <c r="P164" s="440">
        <v>424</v>
      </c>
      <c r="Q164" s="440">
        <v>13194.73</v>
      </c>
      <c r="R164" s="440">
        <v>1340.24036</v>
      </c>
      <c r="S164" s="440">
        <v>0</v>
      </c>
      <c r="T164" s="440">
        <v>14534.970359999999</v>
      </c>
      <c r="U164" s="440">
        <v>0</v>
      </c>
      <c r="V164" s="440">
        <v>0</v>
      </c>
      <c r="W164" s="440">
        <v>1340.24036</v>
      </c>
      <c r="X164" s="440">
        <v>74.91</v>
      </c>
      <c r="Y164" s="440">
        <v>0</v>
      </c>
      <c r="Z164" s="440">
        <v>13119.82</v>
      </c>
      <c r="AA164" s="440">
        <v>0</v>
      </c>
      <c r="AB164" s="440">
        <v>0</v>
      </c>
      <c r="AC164" s="440">
        <v>0</v>
      </c>
      <c r="AD164" s="440">
        <v>0</v>
      </c>
      <c r="AE164" s="440">
        <v>0</v>
      </c>
      <c r="AF164" s="440">
        <v>14534.970359999999</v>
      </c>
      <c r="AH164" s="269"/>
    </row>
    <row r="165" spans="1:34">
      <c r="A165" s="346" t="s">
        <v>1777</v>
      </c>
      <c r="B165" s="346">
        <v>157</v>
      </c>
      <c r="C165" s="346"/>
      <c r="D165" s="346"/>
      <c r="E165" s="346"/>
      <c r="F165" s="346"/>
      <c r="G165" s="346" t="s">
        <v>1956</v>
      </c>
      <c r="H165" s="346" t="s">
        <v>1850</v>
      </c>
      <c r="I165" s="346" t="s">
        <v>1850</v>
      </c>
      <c r="J165" s="346" t="s">
        <v>1857</v>
      </c>
      <c r="K165" s="346" t="s">
        <v>1852</v>
      </c>
      <c r="L165" s="346" t="s">
        <v>1868</v>
      </c>
      <c r="M165" s="346" t="s">
        <v>1868</v>
      </c>
      <c r="N165" s="440">
        <v>0</v>
      </c>
      <c r="O165" s="440">
        <v>991</v>
      </c>
      <c r="P165" s="440">
        <v>991</v>
      </c>
      <c r="Q165" s="440">
        <v>19239.419999999998</v>
      </c>
      <c r="R165" s="440">
        <v>0</v>
      </c>
      <c r="S165" s="440">
        <v>0</v>
      </c>
      <c r="T165" s="440">
        <v>19239.419999999998</v>
      </c>
      <c r="U165" s="440">
        <v>0</v>
      </c>
      <c r="V165" s="440">
        <v>0</v>
      </c>
      <c r="W165" s="440">
        <v>0</v>
      </c>
      <c r="X165" s="440">
        <v>111.96</v>
      </c>
      <c r="Y165" s="440">
        <v>0</v>
      </c>
      <c r="Z165" s="440">
        <v>19127.46</v>
      </c>
      <c r="AA165" s="440">
        <v>0</v>
      </c>
      <c r="AB165" s="440">
        <v>0</v>
      </c>
      <c r="AC165" s="440">
        <v>0</v>
      </c>
      <c r="AD165" s="440">
        <v>0</v>
      </c>
      <c r="AE165" s="440">
        <v>0</v>
      </c>
      <c r="AF165" s="440">
        <v>19239.419999999998</v>
      </c>
      <c r="AH165" s="269"/>
    </row>
    <row r="166" spans="1:34">
      <c r="A166" s="346" t="s">
        <v>1777</v>
      </c>
      <c r="B166" s="346">
        <v>158</v>
      </c>
      <c r="C166" s="346"/>
      <c r="D166" s="346"/>
      <c r="E166" s="346"/>
      <c r="F166" s="346"/>
      <c r="G166" s="346" t="s">
        <v>1956</v>
      </c>
      <c r="H166" s="346" t="s">
        <v>1856</v>
      </c>
      <c r="I166" s="346" t="s">
        <v>1849</v>
      </c>
      <c r="J166" s="346" t="s">
        <v>1857</v>
      </c>
      <c r="K166" s="346" t="s">
        <v>1852</v>
      </c>
      <c r="L166" s="346" t="s">
        <v>1858</v>
      </c>
      <c r="M166" s="346" t="s">
        <v>1889</v>
      </c>
      <c r="N166" s="440">
        <v>0</v>
      </c>
      <c r="O166" s="440">
        <v>0</v>
      </c>
      <c r="P166" s="440">
        <v>0</v>
      </c>
      <c r="Q166" s="440">
        <v>807.7</v>
      </c>
      <c r="R166" s="440">
        <v>0</v>
      </c>
      <c r="S166" s="440">
        <v>0</v>
      </c>
      <c r="T166" s="440">
        <v>807.7</v>
      </c>
      <c r="U166" s="440">
        <v>0</v>
      </c>
      <c r="V166" s="440">
        <v>0</v>
      </c>
      <c r="W166" s="440">
        <v>0</v>
      </c>
      <c r="X166" s="440">
        <v>4.7</v>
      </c>
      <c r="Y166" s="440">
        <v>0</v>
      </c>
      <c r="Z166" s="440">
        <v>802.99999999999989</v>
      </c>
      <c r="AA166" s="440">
        <v>0</v>
      </c>
      <c r="AB166" s="440">
        <v>0</v>
      </c>
      <c r="AC166" s="440">
        <v>0</v>
      </c>
      <c r="AD166" s="440">
        <v>0</v>
      </c>
      <c r="AE166" s="440">
        <v>0</v>
      </c>
      <c r="AF166" s="440">
        <v>807.69999999999993</v>
      </c>
      <c r="AH166" s="269"/>
    </row>
    <row r="167" spans="1:34">
      <c r="A167" s="346" t="s">
        <v>1777</v>
      </c>
      <c r="B167" s="346">
        <v>159</v>
      </c>
      <c r="C167" s="346"/>
      <c r="D167" s="346"/>
      <c r="E167" s="346"/>
      <c r="F167" s="346"/>
      <c r="G167" s="346" t="s">
        <v>1956</v>
      </c>
      <c r="H167" s="346" t="s">
        <v>1856</v>
      </c>
      <c r="I167" s="346" t="s">
        <v>1856</v>
      </c>
      <c r="J167" s="346" t="s">
        <v>1857</v>
      </c>
      <c r="K167" s="346" t="s">
        <v>1852</v>
      </c>
      <c r="L167" s="346" t="s">
        <v>1904</v>
      </c>
      <c r="M167" s="346" t="s">
        <v>1858</v>
      </c>
      <c r="N167" s="440">
        <v>0</v>
      </c>
      <c r="O167" s="440">
        <v>207</v>
      </c>
      <c r="P167" s="440">
        <v>207</v>
      </c>
      <c r="Q167" s="440">
        <v>1216.32</v>
      </c>
      <c r="R167" s="440">
        <v>183.75137000000001</v>
      </c>
      <c r="S167" s="440">
        <v>0</v>
      </c>
      <c r="T167" s="440">
        <v>1400.0713699999999</v>
      </c>
      <c r="U167" s="440">
        <v>0</v>
      </c>
      <c r="V167" s="440">
        <v>0</v>
      </c>
      <c r="W167" s="440">
        <v>183.75137000000001</v>
      </c>
      <c r="X167" s="440">
        <v>6.3</v>
      </c>
      <c r="Y167" s="440">
        <v>0</v>
      </c>
      <c r="Z167" s="440">
        <v>1210.02</v>
      </c>
      <c r="AA167" s="440">
        <v>0</v>
      </c>
      <c r="AB167" s="440">
        <v>0</v>
      </c>
      <c r="AC167" s="440">
        <v>0</v>
      </c>
      <c r="AD167" s="440">
        <v>0</v>
      </c>
      <c r="AE167" s="440">
        <v>0</v>
      </c>
      <c r="AF167" s="440">
        <v>1400.0713700000001</v>
      </c>
      <c r="AH167" s="269"/>
    </row>
    <row r="168" spans="1:34">
      <c r="A168" s="346" t="s">
        <v>1777</v>
      </c>
      <c r="B168" s="346">
        <v>160</v>
      </c>
      <c r="C168" s="346"/>
      <c r="D168" s="346"/>
      <c r="E168" s="346"/>
      <c r="F168" s="346"/>
      <c r="G168" s="346" t="s">
        <v>1957</v>
      </c>
      <c r="H168" s="346" t="s">
        <v>1856</v>
      </c>
      <c r="I168" s="346" t="s">
        <v>1861</v>
      </c>
      <c r="J168" s="346" t="s">
        <v>1862</v>
      </c>
      <c r="K168" s="346" t="s">
        <v>1852</v>
      </c>
      <c r="L168" s="346" t="s">
        <v>1891</v>
      </c>
      <c r="M168" s="346" t="s">
        <v>1864</v>
      </c>
      <c r="N168" s="440">
        <v>331</v>
      </c>
      <c r="O168" s="440">
        <v>187034</v>
      </c>
      <c r="P168" s="440">
        <v>187034</v>
      </c>
      <c r="Q168" s="440">
        <v>13673334.189999999</v>
      </c>
      <c r="R168" s="440">
        <v>1677078.6800000002</v>
      </c>
      <c r="S168" s="440">
        <v>0</v>
      </c>
      <c r="T168" s="440">
        <v>15350412.869999999</v>
      </c>
      <c r="U168" s="440">
        <v>13544520</v>
      </c>
      <c r="V168" s="440">
        <v>0</v>
      </c>
      <c r="W168" s="440">
        <v>1677078.6800000002</v>
      </c>
      <c r="X168" s="440">
        <v>128814.18999999999</v>
      </c>
      <c r="Y168" s="440">
        <v>0</v>
      </c>
      <c r="Z168" s="440">
        <v>0</v>
      </c>
      <c r="AA168" s="440">
        <v>0</v>
      </c>
      <c r="AB168" s="440">
        <v>0</v>
      </c>
      <c r="AC168" s="440">
        <v>0</v>
      </c>
      <c r="AD168" s="440">
        <v>0</v>
      </c>
      <c r="AE168" s="440">
        <v>0</v>
      </c>
      <c r="AF168" s="440">
        <v>15350412.869999999</v>
      </c>
      <c r="AH168" s="269"/>
    </row>
    <row r="169" spans="1:34">
      <c r="A169" s="346" t="s">
        <v>1777</v>
      </c>
      <c r="B169" s="346">
        <v>161</v>
      </c>
      <c r="C169" s="346"/>
      <c r="D169" s="346"/>
      <c r="E169" s="346"/>
      <c r="F169" s="346"/>
      <c r="G169" s="346" t="s">
        <v>1958</v>
      </c>
      <c r="H169" s="346" t="s">
        <v>1856</v>
      </c>
      <c r="I169" s="346" t="s">
        <v>1861</v>
      </c>
      <c r="J169" s="346" t="s">
        <v>1851</v>
      </c>
      <c r="K169" s="346" t="s">
        <v>1852</v>
      </c>
      <c r="L169" s="346" t="s">
        <v>1858</v>
      </c>
      <c r="M169" s="346" t="s">
        <v>1864</v>
      </c>
      <c r="N169" s="440">
        <v>0</v>
      </c>
      <c r="O169" s="440">
        <v>197</v>
      </c>
      <c r="P169" s="440">
        <v>197</v>
      </c>
      <c r="Q169" s="440">
        <v>3125.7999999999997</v>
      </c>
      <c r="R169" s="440">
        <v>0</v>
      </c>
      <c r="S169" s="440">
        <v>0</v>
      </c>
      <c r="T169" s="440">
        <v>3125.7999999999997</v>
      </c>
      <c r="U169" s="440">
        <v>0</v>
      </c>
      <c r="V169" s="440">
        <v>0</v>
      </c>
      <c r="W169" s="440">
        <v>0</v>
      </c>
      <c r="X169" s="440">
        <v>18.190000000000001</v>
      </c>
      <c r="Y169" s="440">
        <v>0</v>
      </c>
      <c r="Z169" s="440">
        <v>0</v>
      </c>
      <c r="AA169" s="440">
        <v>3107.6099999999997</v>
      </c>
      <c r="AB169" s="440">
        <v>0</v>
      </c>
      <c r="AC169" s="440">
        <v>0</v>
      </c>
      <c r="AD169" s="440">
        <v>0</v>
      </c>
      <c r="AE169" s="440">
        <v>0</v>
      </c>
      <c r="AF169" s="440">
        <v>3125.7999999999997</v>
      </c>
      <c r="AH169" s="269"/>
    </row>
    <row r="170" spans="1:34">
      <c r="A170" s="346" t="s">
        <v>1777</v>
      </c>
      <c r="B170" s="346">
        <v>162</v>
      </c>
      <c r="C170" s="346"/>
      <c r="D170" s="346"/>
      <c r="E170" s="346"/>
      <c r="F170" s="346"/>
      <c r="G170" s="346" t="s">
        <v>1959</v>
      </c>
      <c r="H170" s="346" t="s">
        <v>1861</v>
      </c>
      <c r="I170" s="346" t="s">
        <v>1856</v>
      </c>
      <c r="J170" s="346" t="s">
        <v>1857</v>
      </c>
      <c r="K170" s="346" t="s">
        <v>1852</v>
      </c>
      <c r="L170" s="346" t="s">
        <v>1864</v>
      </c>
      <c r="M170" s="346" t="s">
        <v>1858</v>
      </c>
      <c r="N170" s="440">
        <v>0</v>
      </c>
      <c r="O170" s="440">
        <v>18</v>
      </c>
      <c r="P170" s="440">
        <v>18</v>
      </c>
      <c r="Q170" s="440">
        <v>5169.28</v>
      </c>
      <c r="R170" s="440">
        <v>-35.860970000000002</v>
      </c>
      <c r="S170" s="440">
        <v>0</v>
      </c>
      <c r="T170" s="440">
        <v>5133.41903</v>
      </c>
      <c r="U170" s="440">
        <v>0</v>
      </c>
      <c r="V170" s="440">
        <v>0</v>
      </c>
      <c r="W170" s="440">
        <v>-35.860970000000002</v>
      </c>
      <c r="X170" s="440">
        <v>30.08</v>
      </c>
      <c r="Y170" s="440">
        <v>0</v>
      </c>
      <c r="Z170" s="440">
        <v>5139.2</v>
      </c>
      <c r="AA170" s="440">
        <v>0</v>
      </c>
      <c r="AB170" s="440">
        <v>0</v>
      </c>
      <c r="AC170" s="440">
        <v>0</v>
      </c>
      <c r="AD170" s="440">
        <v>0</v>
      </c>
      <c r="AE170" s="440">
        <v>0</v>
      </c>
      <c r="AF170" s="440">
        <v>5133.41903</v>
      </c>
      <c r="AH170" s="269"/>
    </row>
    <row r="171" spans="1:34">
      <c r="A171" s="346" t="s">
        <v>1777</v>
      </c>
      <c r="B171" s="346">
        <v>163</v>
      </c>
      <c r="C171" s="346"/>
      <c r="D171" s="346"/>
      <c r="E171" s="346"/>
      <c r="F171" s="346"/>
      <c r="G171" s="346" t="s">
        <v>1959</v>
      </c>
      <c r="H171" s="346" t="s">
        <v>1865</v>
      </c>
      <c r="I171" s="346" t="s">
        <v>1865</v>
      </c>
      <c r="J171" s="346" t="s">
        <v>1857</v>
      </c>
      <c r="K171" s="346" t="s">
        <v>1852</v>
      </c>
      <c r="L171" s="346" t="s">
        <v>1877</v>
      </c>
      <c r="M171" s="346" t="s">
        <v>1960</v>
      </c>
      <c r="N171" s="440">
        <v>0</v>
      </c>
      <c r="O171" s="440">
        <v>782</v>
      </c>
      <c r="P171" s="440">
        <v>782</v>
      </c>
      <c r="Q171" s="440">
        <v>10500.1</v>
      </c>
      <c r="R171" s="440">
        <v>41154.85</v>
      </c>
      <c r="S171" s="440">
        <v>0</v>
      </c>
      <c r="T171" s="440">
        <v>51654.95</v>
      </c>
      <c r="U171" s="440">
        <v>0</v>
      </c>
      <c r="V171" s="440">
        <v>0</v>
      </c>
      <c r="W171" s="440">
        <v>41154.85</v>
      </c>
      <c r="X171" s="440">
        <v>61.1</v>
      </c>
      <c r="Y171" s="440">
        <v>0</v>
      </c>
      <c r="Z171" s="440">
        <v>10439</v>
      </c>
      <c r="AA171" s="440">
        <v>0</v>
      </c>
      <c r="AB171" s="440">
        <v>0</v>
      </c>
      <c r="AC171" s="440">
        <v>0</v>
      </c>
      <c r="AD171" s="440">
        <v>0</v>
      </c>
      <c r="AE171" s="440">
        <v>0</v>
      </c>
      <c r="AF171" s="440">
        <v>51654.95</v>
      </c>
      <c r="AH171" s="269"/>
    </row>
    <row r="172" spans="1:34">
      <c r="A172" s="346" t="s">
        <v>1777</v>
      </c>
      <c r="B172" s="346">
        <v>164</v>
      </c>
      <c r="C172" s="346"/>
      <c r="D172" s="346"/>
      <c r="E172" s="346"/>
      <c r="F172" s="346"/>
      <c r="G172" s="346" t="s">
        <v>1961</v>
      </c>
      <c r="H172" s="346" t="s">
        <v>1906</v>
      </c>
      <c r="I172" s="346" t="s">
        <v>1906</v>
      </c>
      <c r="J172" s="346" t="s">
        <v>1862</v>
      </c>
      <c r="K172" s="346" t="s">
        <v>1852</v>
      </c>
      <c r="L172" s="346" t="s">
        <v>1908</v>
      </c>
      <c r="M172" s="346" t="s">
        <v>1913</v>
      </c>
      <c r="N172" s="440">
        <v>184</v>
      </c>
      <c r="O172" s="440">
        <v>179954</v>
      </c>
      <c r="P172" s="440">
        <v>179954</v>
      </c>
      <c r="Q172" s="440">
        <v>7982012.0300000003</v>
      </c>
      <c r="R172" s="440">
        <v>197131.17960999999</v>
      </c>
      <c r="S172" s="440">
        <v>0</v>
      </c>
      <c r="T172" s="440">
        <v>8179143.2096100003</v>
      </c>
      <c r="U172" s="440">
        <v>7910405.3399999999</v>
      </c>
      <c r="V172" s="440">
        <v>0</v>
      </c>
      <c r="W172" s="440">
        <v>197131.17960999999</v>
      </c>
      <c r="X172" s="440">
        <v>71606.689999999988</v>
      </c>
      <c r="Y172" s="440">
        <v>0</v>
      </c>
      <c r="Z172" s="440">
        <v>0</v>
      </c>
      <c r="AA172" s="440">
        <v>0</v>
      </c>
      <c r="AB172" s="440">
        <v>0</v>
      </c>
      <c r="AC172" s="440">
        <v>0</v>
      </c>
      <c r="AD172" s="440">
        <v>0</v>
      </c>
      <c r="AE172" s="440">
        <v>0</v>
      </c>
      <c r="AF172" s="440">
        <v>8179143.2096100003</v>
      </c>
      <c r="AH172" s="269"/>
    </row>
    <row r="173" spans="1:34">
      <c r="A173" s="346" t="s">
        <v>1777</v>
      </c>
      <c r="B173" s="346">
        <v>165</v>
      </c>
      <c r="C173" s="346"/>
      <c r="D173" s="346"/>
      <c r="E173" s="346"/>
      <c r="F173" s="346"/>
      <c r="G173" s="346" t="s">
        <v>1962</v>
      </c>
      <c r="H173" s="346" t="s">
        <v>1856</v>
      </c>
      <c r="I173" s="346" t="s">
        <v>1849</v>
      </c>
      <c r="J173" s="346" t="s">
        <v>1851</v>
      </c>
      <c r="K173" s="346" t="s">
        <v>1852</v>
      </c>
      <c r="L173" s="346" t="s">
        <v>1963</v>
      </c>
      <c r="M173" s="346" t="s">
        <v>1889</v>
      </c>
      <c r="N173" s="440">
        <v>0</v>
      </c>
      <c r="O173" s="440">
        <v>0</v>
      </c>
      <c r="P173" s="440">
        <v>0</v>
      </c>
      <c r="Q173" s="440">
        <v>9.08</v>
      </c>
      <c r="R173" s="440">
        <v>0</v>
      </c>
      <c r="S173" s="440">
        <v>0</v>
      </c>
      <c r="T173" s="440">
        <v>9.08</v>
      </c>
      <c r="U173" s="440">
        <v>0</v>
      </c>
      <c r="V173" s="440">
        <v>0</v>
      </c>
      <c r="W173" s="440">
        <v>0</v>
      </c>
      <c r="X173" s="440">
        <v>0.05</v>
      </c>
      <c r="Y173" s="440">
        <v>0</v>
      </c>
      <c r="Z173" s="440">
        <v>0</v>
      </c>
      <c r="AA173" s="440">
        <v>9.0299999999999994</v>
      </c>
      <c r="AB173" s="440">
        <v>0</v>
      </c>
      <c r="AC173" s="440">
        <v>0</v>
      </c>
      <c r="AD173" s="440">
        <v>0</v>
      </c>
      <c r="AE173" s="440">
        <v>0</v>
      </c>
      <c r="AF173" s="440">
        <v>9.08</v>
      </c>
      <c r="AH173" s="269"/>
    </row>
    <row r="174" spans="1:34">
      <c r="A174" s="346" t="s">
        <v>1777</v>
      </c>
      <c r="B174" s="346">
        <v>166</v>
      </c>
      <c r="C174" s="346"/>
      <c r="D174" s="346"/>
      <c r="E174" s="346"/>
      <c r="F174" s="346"/>
      <c r="G174" s="346" t="s">
        <v>1964</v>
      </c>
      <c r="H174" s="346" t="s">
        <v>1850</v>
      </c>
      <c r="I174" s="346" t="s">
        <v>1856</v>
      </c>
      <c r="J174" s="346" t="s">
        <v>1851</v>
      </c>
      <c r="K174" s="346" t="s">
        <v>1852</v>
      </c>
      <c r="L174" s="346" t="s">
        <v>1868</v>
      </c>
      <c r="M174" s="346" t="s">
        <v>1858</v>
      </c>
      <c r="N174" s="440">
        <v>0</v>
      </c>
      <c r="O174" s="440">
        <v>1156</v>
      </c>
      <c r="P174" s="440">
        <v>1156</v>
      </c>
      <c r="Q174" s="440">
        <v>2301.9499999999998</v>
      </c>
      <c r="R174" s="440">
        <v>6721.22</v>
      </c>
      <c r="S174" s="440">
        <v>0</v>
      </c>
      <c r="T174" s="440">
        <v>9023.17</v>
      </c>
      <c r="U174" s="440">
        <v>0</v>
      </c>
      <c r="V174" s="440">
        <v>0</v>
      </c>
      <c r="W174" s="440">
        <v>6721.22</v>
      </c>
      <c r="X174" s="440">
        <v>13.4</v>
      </c>
      <c r="Y174" s="440">
        <v>0</v>
      </c>
      <c r="Z174" s="440">
        <v>0</v>
      </c>
      <c r="AA174" s="440">
        <v>2288.5499999999997</v>
      </c>
      <c r="AB174" s="440">
        <v>0</v>
      </c>
      <c r="AC174" s="440">
        <v>0</v>
      </c>
      <c r="AD174" s="440">
        <v>0</v>
      </c>
      <c r="AE174" s="440">
        <v>0</v>
      </c>
      <c r="AF174" s="440">
        <v>9023.17</v>
      </c>
      <c r="AH174" s="269"/>
    </row>
    <row r="175" spans="1:34">
      <c r="A175" s="346" t="s">
        <v>1777</v>
      </c>
      <c r="B175" s="346">
        <v>167</v>
      </c>
      <c r="C175" s="346"/>
      <c r="D175" s="346"/>
      <c r="E175" s="346"/>
      <c r="F175" s="346"/>
      <c r="G175" s="346" t="s">
        <v>1964</v>
      </c>
      <c r="H175" s="346" t="s">
        <v>1861</v>
      </c>
      <c r="I175" s="346" t="s">
        <v>1850</v>
      </c>
      <c r="J175" s="346" t="s">
        <v>1851</v>
      </c>
      <c r="K175" s="346" t="s">
        <v>1852</v>
      </c>
      <c r="L175" s="346" t="s">
        <v>1864</v>
      </c>
      <c r="M175" s="346" t="s">
        <v>1868</v>
      </c>
      <c r="N175" s="440">
        <v>0</v>
      </c>
      <c r="O175" s="440">
        <v>120</v>
      </c>
      <c r="P175" s="440">
        <v>120</v>
      </c>
      <c r="Q175" s="440">
        <v>969.24</v>
      </c>
      <c r="R175" s="440">
        <v>86</v>
      </c>
      <c r="S175" s="440">
        <v>0</v>
      </c>
      <c r="T175" s="440">
        <v>1055.24</v>
      </c>
      <c r="U175" s="440">
        <v>0</v>
      </c>
      <c r="V175" s="440">
        <v>0</v>
      </c>
      <c r="W175" s="440">
        <v>86</v>
      </c>
      <c r="X175" s="440">
        <v>5.64</v>
      </c>
      <c r="Y175" s="440">
        <v>0</v>
      </c>
      <c r="Z175" s="440">
        <v>0</v>
      </c>
      <c r="AA175" s="440">
        <v>963.59999999999991</v>
      </c>
      <c r="AB175" s="440">
        <v>0</v>
      </c>
      <c r="AC175" s="440">
        <v>0</v>
      </c>
      <c r="AD175" s="440">
        <v>0</v>
      </c>
      <c r="AE175" s="440">
        <v>0</v>
      </c>
      <c r="AF175" s="440">
        <v>1055.24</v>
      </c>
    </row>
    <row r="176" spans="1:34">
      <c r="A176" s="346" t="s">
        <v>1777</v>
      </c>
      <c r="B176" s="346">
        <v>168</v>
      </c>
      <c r="C176" s="346"/>
      <c r="D176" s="346"/>
      <c r="E176" s="346"/>
      <c r="F176" s="346"/>
      <c r="G176" s="346" t="s">
        <v>1964</v>
      </c>
      <c r="H176" s="346" t="s">
        <v>1849</v>
      </c>
      <c r="I176" s="346" t="s">
        <v>1850</v>
      </c>
      <c r="J176" s="346" t="s">
        <v>1851</v>
      </c>
      <c r="K176" s="346" t="s">
        <v>1852</v>
      </c>
      <c r="L176" s="346" t="s">
        <v>1853</v>
      </c>
      <c r="M176" s="346" t="s">
        <v>1854</v>
      </c>
      <c r="N176" s="440">
        <v>0</v>
      </c>
      <c r="O176" s="440">
        <v>0</v>
      </c>
      <c r="P176" s="440">
        <v>0</v>
      </c>
      <c r="Q176" s="440">
        <v>3553.88</v>
      </c>
      <c r="R176" s="440">
        <v>0</v>
      </c>
      <c r="S176" s="440">
        <v>0</v>
      </c>
      <c r="T176" s="440">
        <v>3553.88</v>
      </c>
      <c r="U176" s="440">
        <v>0</v>
      </c>
      <c r="V176" s="440">
        <v>0</v>
      </c>
      <c r="W176" s="440">
        <v>0</v>
      </c>
      <c r="X176" s="440">
        <v>20.68</v>
      </c>
      <c r="Y176" s="440">
        <v>0</v>
      </c>
      <c r="Z176" s="440">
        <v>0</v>
      </c>
      <c r="AA176" s="440">
        <v>3533.2</v>
      </c>
      <c r="AB176" s="440">
        <v>0</v>
      </c>
      <c r="AC176" s="440">
        <v>0</v>
      </c>
      <c r="AD176" s="440">
        <v>0</v>
      </c>
      <c r="AE176" s="440">
        <v>0</v>
      </c>
      <c r="AF176" s="440">
        <v>3553.8799999999997</v>
      </c>
    </row>
    <row r="177" spans="1:32">
      <c r="A177" s="346" t="s">
        <v>1777</v>
      </c>
      <c r="B177" s="346">
        <v>169</v>
      </c>
      <c r="C177" s="346"/>
      <c r="D177" s="346"/>
      <c r="E177" s="346"/>
      <c r="F177" s="346"/>
      <c r="G177" s="346" t="s">
        <v>1964</v>
      </c>
      <c r="H177" s="346" t="s">
        <v>1850</v>
      </c>
      <c r="I177" s="346" t="s">
        <v>1849</v>
      </c>
      <c r="J177" s="346" t="s">
        <v>1851</v>
      </c>
      <c r="K177" s="346" t="s">
        <v>1852</v>
      </c>
      <c r="L177" s="346" t="s">
        <v>1854</v>
      </c>
      <c r="M177" s="346" t="s">
        <v>1853</v>
      </c>
      <c r="N177" s="440">
        <v>0</v>
      </c>
      <c r="O177" s="440">
        <v>120</v>
      </c>
      <c r="P177" s="440">
        <v>120</v>
      </c>
      <c r="Q177" s="440">
        <v>969.24</v>
      </c>
      <c r="R177" s="440">
        <v>44.04</v>
      </c>
      <c r="S177" s="440">
        <v>0</v>
      </c>
      <c r="T177" s="440">
        <v>1013.28</v>
      </c>
      <c r="U177" s="440">
        <v>0</v>
      </c>
      <c r="V177" s="440">
        <v>0</v>
      </c>
      <c r="W177" s="440">
        <v>44.04</v>
      </c>
      <c r="X177" s="440">
        <v>5.64</v>
      </c>
      <c r="Y177" s="440">
        <v>0</v>
      </c>
      <c r="Z177" s="440">
        <v>0</v>
      </c>
      <c r="AA177" s="440">
        <v>963.59999999999991</v>
      </c>
      <c r="AB177" s="440">
        <v>0</v>
      </c>
      <c r="AC177" s="440">
        <v>0</v>
      </c>
      <c r="AD177" s="440">
        <v>0</v>
      </c>
      <c r="AE177" s="440">
        <v>0</v>
      </c>
      <c r="AF177" s="440">
        <v>1013.2799999999999</v>
      </c>
    </row>
    <row r="178" spans="1:32">
      <c r="A178" s="346" t="s">
        <v>1777</v>
      </c>
      <c r="B178" s="346">
        <v>170</v>
      </c>
      <c r="C178" s="346"/>
      <c r="D178" s="346"/>
      <c r="E178" s="346"/>
      <c r="F178" s="346"/>
      <c r="G178" s="346" t="s">
        <v>1965</v>
      </c>
      <c r="H178" s="346" t="s">
        <v>1861</v>
      </c>
      <c r="I178" s="346" t="s">
        <v>1850</v>
      </c>
      <c r="J178" s="346" t="s">
        <v>1857</v>
      </c>
      <c r="K178" s="346" t="s">
        <v>1852</v>
      </c>
      <c r="L178" s="346" t="s">
        <v>1864</v>
      </c>
      <c r="M178" s="346" t="s">
        <v>1868</v>
      </c>
      <c r="N178" s="440">
        <v>0</v>
      </c>
      <c r="O178" s="440">
        <v>842</v>
      </c>
      <c r="P178" s="440">
        <v>842</v>
      </c>
      <c r="Q178" s="440">
        <v>32.309999999999995</v>
      </c>
      <c r="R178" s="440">
        <v>2.88</v>
      </c>
      <c r="S178" s="440">
        <v>0</v>
      </c>
      <c r="T178" s="440">
        <v>35.19</v>
      </c>
      <c r="U178" s="440">
        <v>0</v>
      </c>
      <c r="V178" s="440">
        <v>0</v>
      </c>
      <c r="W178" s="440">
        <v>2.88</v>
      </c>
      <c r="X178" s="440">
        <v>0.19</v>
      </c>
      <c r="Y178" s="440">
        <v>0</v>
      </c>
      <c r="Z178" s="440">
        <v>32.119999999999997</v>
      </c>
      <c r="AA178" s="440">
        <v>0</v>
      </c>
      <c r="AB178" s="440">
        <v>0</v>
      </c>
      <c r="AC178" s="440">
        <v>0</v>
      </c>
      <c r="AD178" s="440">
        <v>0</v>
      </c>
      <c r="AE178" s="440">
        <v>0</v>
      </c>
      <c r="AF178" s="440">
        <v>35.19</v>
      </c>
    </row>
    <row r="179" spans="1:32">
      <c r="A179" s="346" t="s">
        <v>1777</v>
      </c>
      <c r="B179" s="346">
        <v>171</v>
      </c>
      <c r="C179" s="346"/>
      <c r="D179" s="346"/>
      <c r="E179" s="346"/>
      <c r="F179" s="346"/>
      <c r="G179" s="346" t="s">
        <v>1965</v>
      </c>
      <c r="H179" s="346" t="s">
        <v>1856</v>
      </c>
      <c r="I179" s="346" t="s">
        <v>1850</v>
      </c>
      <c r="J179" s="346" t="s">
        <v>1857</v>
      </c>
      <c r="K179" s="346" t="s">
        <v>1852</v>
      </c>
      <c r="L179" s="346" t="s">
        <v>1858</v>
      </c>
      <c r="M179" s="346" t="s">
        <v>1868</v>
      </c>
      <c r="N179" s="440">
        <v>0</v>
      </c>
      <c r="O179" s="440">
        <v>0</v>
      </c>
      <c r="P179" s="440">
        <v>0</v>
      </c>
      <c r="Q179" s="440">
        <v>8.08</v>
      </c>
      <c r="R179" s="440">
        <v>0</v>
      </c>
      <c r="S179" s="440">
        <v>0</v>
      </c>
      <c r="T179" s="440">
        <v>8.08</v>
      </c>
      <c r="U179" s="440">
        <v>0</v>
      </c>
      <c r="V179" s="440">
        <v>0</v>
      </c>
      <c r="W179" s="440">
        <v>0</v>
      </c>
      <c r="X179" s="440">
        <v>0.05</v>
      </c>
      <c r="Y179" s="440">
        <v>0</v>
      </c>
      <c r="Z179" s="440">
        <v>8.0299999999999994</v>
      </c>
      <c r="AA179" s="440">
        <v>0</v>
      </c>
      <c r="AB179" s="440">
        <v>0</v>
      </c>
      <c r="AC179" s="440">
        <v>0</v>
      </c>
      <c r="AD179" s="440">
        <v>0</v>
      </c>
      <c r="AE179" s="440">
        <v>0</v>
      </c>
      <c r="AF179" s="440">
        <v>8.08</v>
      </c>
    </row>
    <row r="180" spans="1:32">
      <c r="A180" s="346" t="s">
        <v>1777</v>
      </c>
      <c r="B180" s="346">
        <v>172</v>
      </c>
      <c r="C180" s="346"/>
      <c r="D180" s="346"/>
      <c r="E180" s="346"/>
      <c r="F180" s="346"/>
      <c r="G180" s="346" t="s">
        <v>1965</v>
      </c>
      <c r="H180" s="346" t="s">
        <v>1850</v>
      </c>
      <c r="I180" s="346" t="s">
        <v>1850</v>
      </c>
      <c r="J180" s="346" t="s">
        <v>1857</v>
      </c>
      <c r="K180" s="346" t="s">
        <v>1852</v>
      </c>
      <c r="L180" s="346" t="s">
        <v>1868</v>
      </c>
      <c r="M180" s="346" t="s">
        <v>1868</v>
      </c>
      <c r="N180" s="440">
        <v>0</v>
      </c>
      <c r="O180" s="440">
        <v>3723</v>
      </c>
      <c r="P180" s="440">
        <v>3723</v>
      </c>
      <c r="Q180" s="440">
        <v>32883.78</v>
      </c>
      <c r="R180" s="440">
        <v>268.22000000000003</v>
      </c>
      <c r="S180" s="440">
        <v>0</v>
      </c>
      <c r="T180" s="440">
        <v>33152</v>
      </c>
      <c r="U180" s="440">
        <v>0</v>
      </c>
      <c r="V180" s="440">
        <v>0</v>
      </c>
      <c r="W180" s="440">
        <v>268.22000000000003</v>
      </c>
      <c r="X180" s="440">
        <v>190.92000000000002</v>
      </c>
      <c r="Y180" s="440">
        <v>0</v>
      </c>
      <c r="Z180" s="440">
        <v>32692.86</v>
      </c>
      <c r="AA180" s="440">
        <v>0</v>
      </c>
      <c r="AB180" s="440">
        <v>0</v>
      </c>
      <c r="AC180" s="440">
        <v>0</v>
      </c>
      <c r="AD180" s="440">
        <v>0</v>
      </c>
      <c r="AE180" s="440">
        <v>0</v>
      </c>
      <c r="AF180" s="440">
        <v>33152</v>
      </c>
    </row>
    <row r="181" spans="1:32">
      <c r="A181" s="346" t="s">
        <v>1777</v>
      </c>
      <c r="B181" s="346">
        <v>173</v>
      </c>
      <c r="C181" s="346"/>
      <c r="D181" s="346"/>
      <c r="E181" s="346"/>
      <c r="F181" s="346"/>
      <c r="G181" s="346" t="s">
        <v>1966</v>
      </c>
      <c r="H181" s="346" t="s">
        <v>1861</v>
      </c>
      <c r="I181" s="346" t="s">
        <v>1850</v>
      </c>
      <c r="J181" s="346" t="s">
        <v>1851</v>
      </c>
      <c r="K181" s="346" t="s">
        <v>1852</v>
      </c>
      <c r="L181" s="346" t="s">
        <v>1864</v>
      </c>
      <c r="M181" s="346" t="s">
        <v>1868</v>
      </c>
      <c r="N181" s="440">
        <v>0</v>
      </c>
      <c r="O181" s="440">
        <v>167</v>
      </c>
      <c r="P181" s="440">
        <v>167</v>
      </c>
      <c r="Q181" s="440">
        <v>4086.96</v>
      </c>
      <c r="R181" s="440">
        <v>-554.98</v>
      </c>
      <c r="S181" s="440">
        <v>0</v>
      </c>
      <c r="T181" s="440">
        <v>3531.98</v>
      </c>
      <c r="U181" s="440">
        <v>0</v>
      </c>
      <c r="V181" s="440">
        <v>0</v>
      </c>
      <c r="W181" s="440">
        <v>-554.98</v>
      </c>
      <c r="X181" s="440">
        <v>23.779999999999998</v>
      </c>
      <c r="Y181" s="440">
        <v>0</v>
      </c>
      <c r="Z181" s="440">
        <v>0</v>
      </c>
      <c r="AA181" s="440">
        <v>4063.1799999999994</v>
      </c>
      <c r="AB181" s="440">
        <v>0</v>
      </c>
      <c r="AC181" s="440">
        <v>0</v>
      </c>
      <c r="AD181" s="440">
        <v>0</v>
      </c>
      <c r="AE181" s="440">
        <v>0</v>
      </c>
      <c r="AF181" s="440">
        <v>3531.9799999999996</v>
      </c>
    </row>
    <row r="182" spans="1:32">
      <c r="A182" s="346" t="s">
        <v>1777</v>
      </c>
      <c r="B182" s="346">
        <v>174</v>
      </c>
      <c r="C182" s="346"/>
      <c r="D182" s="346"/>
      <c r="E182" s="346"/>
      <c r="F182" s="346"/>
      <c r="G182" s="346" t="s">
        <v>1967</v>
      </c>
      <c r="H182" s="346" t="s">
        <v>1861</v>
      </c>
      <c r="I182" s="346" t="s">
        <v>1850</v>
      </c>
      <c r="J182" s="346" t="s">
        <v>1857</v>
      </c>
      <c r="K182" s="346" t="s">
        <v>1852</v>
      </c>
      <c r="L182" s="346" t="s">
        <v>1864</v>
      </c>
      <c r="M182" s="346" t="s">
        <v>1868</v>
      </c>
      <c r="N182" s="440">
        <v>0</v>
      </c>
      <c r="O182" s="440">
        <v>410</v>
      </c>
      <c r="P182" s="440">
        <v>410</v>
      </c>
      <c r="Q182" s="440">
        <v>6138.52</v>
      </c>
      <c r="R182" s="440">
        <v>0</v>
      </c>
      <c r="S182" s="440">
        <v>0</v>
      </c>
      <c r="T182" s="440">
        <v>6138.52</v>
      </c>
      <c r="U182" s="440">
        <v>0</v>
      </c>
      <c r="V182" s="440">
        <v>0</v>
      </c>
      <c r="W182" s="440">
        <v>0</v>
      </c>
      <c r="X182" s="440">
        <v>35.72</v>
      </c>
      <c r="Y182" s="440">
        <v>0</v>
      </c>
      <c r="Z182" s="440">
        <v>6102.7999999999993</v>
      </c>
      <c r="AA182" s="440">
        <v>0</v>
      </c>
      <c r="AB182" s="440">
        <v>0</v>
      </c>
      <c r="AC182" s="440">
        <v>0</v>
      </c>
      <c r="AD182" s="440">
        <v>0</v>
      </c>
      <c r="AE182" s="440">
        <v>0</v>
      </c>
      <c r="AF182" s="440">
        <v>6138.5199999999995</v>
      </c>
    </row>
    <row r="183" spans="1:32">
      <c r="A183" s="346" t="s">
        <v>1777</v>
      </c>
      <c r="B183" s="346">
        <v>175</v>
      </c>
      <c r="C183" s="346"/>
      <c r="D183" s="346"/>
      <c r="E183" s="346"/>
      <c r="F183" s="346"/>
      <c r="G183" s="346" t="s">
        <v>1967</v>
      </c>
      <c r="H183" s="346" t="s">
        <v>1856</v>
      </c>
      <c r="I183" s="346" t="s">
        <v>1856</v>
      </c>
      <c r="J183" s="346" t="s">
        <v>1857</v>
      </c>
      <c r="K183" s="346" t="s">
        <v>1852</v>
      </c>
      <c r="L183" s="346" t="s">
        <v>1858</v>
      </c>
      <c r="M183" s="346" t="s">
        <v>1904</v>
      </c>
      <c r="N183" s="440">
        <v>0</v>
      </c>
      <c r="O183" s="440">
        <v>0</v>
      </c>
      <c r="P183" s="440">
        <v>0</v>
      </c>
      <c r="Q183" s="440">
        <v>0</v>
      </c>
      <c r="R183" s="440">
        <v>0</v>
      </c>
      <c r="S183" s="440">
        <v>0</v>
      </c>
      <c r="T183" s="440">
        <v>0</v>
      </c>
      <c r="U183" s="440">
        <v>0</v>
      </c>
      <c r="V183" s="440">
        <v>0</v>
      </c>
      <c r="W183" s="440">
        <v>0</v>
      </c>
      <c r="X183" s="440">
        <v>0</v>
      </c>
      <c r="Y183" s="440">
        <v>0</v>
      </c>
      <c r="Z183" s="440">
        <v>0</v>
      </c>
      <c r="AA183" s="440">
        <v>0</v>
      </c>
      <c r="AB183" s="440">
        <v>0</v>
      </c>
      <c r="AC183" s="440">
        <v>0</v>
      </c>
      <c r="AD183" s="440">
        <v>0</v>
      </c>
      <c r="AE183" s="440">
        <v>0</v>
      </c>
      <c r="AF183" s="440">
        <v>0</v>
      </c>
    </row>
    <row r="184" spans="1:32">
      <c r="A184" s="346" t="s">
        <v>1777</v>
      </c>
      <c r="B184" s="346">
        <v>176</v>
      </c>
      <c r="C184" s="346"/>
      <c r="D184" s="346"/>
      <c r="E184" s="346"/>
      <c r="F184" s="346"/>
      <c r="G184" s="346" t="s">
        <v>1968</v>
      </c>
      <c r="H184" s="346" t="s">
        <v>1856</v>
      </c>
      <c r="I184" s="346" t="s">
        <v>1861</v>
      </c>
      <c r="J184" s="346" t="s">
        <v>1851</v>
      </c>
      <c r="K184" s="346" t="s">
        <v>1852</v>
      </c>
      <c r="L184" s="346" t="s">
        <v>1891</v>
      </c>
      <c r="M184" s="346" t="s">
        <v>1864</v>
      </c>
      <c r="N184" s="440">
        <v>0</v>
      </c>
      <c r="O184" s="440">
        <v>20408</v>
      </c>
      <c r="P184" s="440">
        <v>20408</v>
      </c>
      <c r="Q184" s="440">
        <v>391088.33999999997</v>
      </c>
      <c r="R184" s="440">
        <v>327737.28000000003</v>
      </c>
      <c r="S184" s="440">
        <v>0</v>
      </c>
      <c r="T184" s="440">
        <v>718825.62</v>
      </c>
      <c r="U184" s="440">
        <v>0</v>
      </c>
      <c r="V184" s="440">
        <v>0</v>
      </c>
      <c r="W184" s="440">
        <v>327737.28000000003</v>
      </c>
      <c r="X184" s="440">
        <v>0</v>
      </c>
      <c r="Y184" s="440">
        <v>0</v>
      </c>
      <c r="Z184" s="440">
        <v>0</v>
      </c>
      <c r="AA184" s="440">
        <v>0</v>
      </c>
      <c r="AB184" s="440">
        <v>0</v>
      </c>
      <c r="AC184" s="440">
        <v>0</v>
      </c>
      <c r="AD184" s="440">
        <v>0</v>
      </c>
      <c r="AE184" s="440">
        <v>0</v>
      </c>
      <c r="AF184" s="440">
        <v>327737.28000000003</v>
      </c>
    </row>
    <row r="185" spans="1:32">
      <c r="A185" s="346" t="s">
        <v>1777</v>
      </c>
      <c r="B185" s="346">
        <v>177</v>
      </c>
      <c r="C185" s="346"/>
      <c r="D185" s="346"/>
      <c r="E185" s="346"/>
      <c r="F185" s="346"/>
      <c r="G185" s="346" t="s">
        <v>1968</v>
      </c>
      <c r="H185" s="346" t="s">
        <v>1856</v>
      </c>
      <c r="I185" s="346" t="s">
        <v>1861</v>
      </c>
      <c r="J185" s="346" t="s">
        <v>1851</v>
      </c>
      <c r="K185" s="346" t="s">
        <v>1852</v>
      </c>
      <c r="L185" s="346" t="s">
        <v>1874</v>
      </c>
      <c r="M185" s="346" t="s">
        <v>1864</v>
      </c>
      <c r="N185" s="440">
        <v>0</v>
      </c>
      <c r="O185" s="440">
        <v>74972</v>
      </c>
      <c r="P185" s="440">
        <v>74972</v>
      </c>
      <c r="Q185" s="440">
        <v>816370.21</v>
      </c>
      <c r="R185" s="440">
        <v>342396.86</v>
      </c>
      <c r="S185" s="440">
        <v>0</v>
      </c>
      <c r="T185" s="440">
        <v>1158767.0699999998</v>
      </c>
      <c r="U185" s="440">
        <v>0</v>
      </c>
      <c r="V185" s="440">
        <v>0</v>
      </c>
      <c r="W185" s="440">
        <v>342396.86</v>
      </c>
      <c r="X185" s="440">
        <v>6624.9</v>
      </c>
      <c r="Y185" s="440">
        <v>0</v>
      </c>
      <c r="Z185" s="440">
        <v>0</v>
      </c>
      <c r="AA185" s="440">
        <v>1200833.6499999999</v>
      </c>
      <c r="AB185" s="440">
        <v>0</v>
      </c>
      <c r="AC185" s="440">
        <v>0</v>
      </c>
      <c r="AD185" s="440">
        <v>0</v>
      </c>
      <c r="AE185" s="440">
        <v>0</v>
      </c>
      <c r="AF185" s="440">
        <v>1549855.41</v>
      </c>
    </row>
    <row r="186" spans="1:32">
      <c r="A186" s="346" t="s">
        <v>1777</v>
      </c>
      <c r="B186" s="346">
        <v>178</v>
      </c>
      <c r="C186" s="346"/>
      <c r="D186" s="346"/>
      <c r="E186" s="346"/>
      <c r="F186" s="346"/>
      <c r="G186" s="346" t="s">
        <v>1968</v>
      </c>
      <c r="H186" s="346" t="s">
        <v>1849</v>
      </c>
      <c r="I186" s="346" t="s">
        <v>1856</v>
      </c>
      <c r="J186" s="346" t="s">
        <v>1851</v>
      </c>
      <c r="K186" s="346" t="s">
        <v>1852</v>
      </c>
      <c r="L186" s="346" t="s">
        <v>1889</v>
      </c>
      <c r="M186" s="346" t="s">
        <v>1858</v>
      </c>
      <c r="N186" s="440">
        <v>0</v>
      </c>
      <c r="O186" s="440">
        <v>57</v>
      </c>
      <c r="P186" s="440">
        <v>57</v>
      </c>
      <c r="Q186" s="440">
        <v>653.54</v>
      </c>
      <c r="R186" s="440">
        <v>0</v>
      </c>
      <c r="S186" s="440">
        <v>0</v>
      </c>
      <c r="T186" s="440">
        <v>653.54</v>
      </c>
      <c r="U186" s="440">
        <v>0</v>
      </c>
      <c r="V186" s="440">
        <v>0</v>
      </c>
      <c r="W186" s="440">
        <v>0</v>
      </c>
      <c r="X186" s="440">
        <v>3.38</v>
      </c>
      <c r="Y186" s="440">
        <v>0</v>
      </c>
      <c r="Z186" s="440">
        <v>0</v>
      </c>
      <c r="AA186" s="440">
        <v>650.16</v>
      </c>
      <c r="AB186" s="440">
        <v>0</v>
      </c>
      <c r="AC186" s="440">
        <v>0</v>
      </c>
      <c r="AD186" s="440">
        <v>0</v>
      </c>
      <c r="AE186" s="440">
        <v>0</v>
      </c>
      <c r="AF186" s="440">
        <v>653.54</v>
      </c>
    </row>
    <row r="187" spans="1:32">
      <c r="A187" s="346" t="s">
        <v>1777</v>
      </c>
      <c r="B187" s="346">
        <v>179</v>
      </c>
      <c r="C187" s="346"/>
      <c r="D187" s="346"/>
      <c r="E187" s="346"/>
      <c r="F187" s="346"/>
      <c r="G187" s="346" t="s">
        <v>1968</v>
      </c>
      <c r="H187" s="346" t="s">
        <v>1856</v>
      </c>
      <c r="I187" s="346" t="s">
        <v>1861</v>
      </c>
      <c r="J187" s="346" t="s">
        <v>1851</v>
      </c>
      <c r="K187" s="346" t="s">
        <v>1852</v>
      </c>
      <c r="L187" s="346" t="s">
        <v>1858</v>
      </c>
      <c r="M187" s="346" t="s">
        <v>1864</v>
      </c>
      <c r="N187" s="440">
        <v>0</v>
      </c>
      <c r="O187" s="440">
        <v>0</v>
      </c>
      <c r="P187" s="440">
        <v>0</v>
      </c>
      <c r="Q187" s="440">
        <v>9.08</v>
      </c>
      <c r="R187" s="440">
        <v>0</v>
      </c>
      <c r="S187" s="440">
        <v>0</v>
      </c>
      <c r="T187" s="440">
        <v>9.08</v>
      </c>
      <c r="U187" s="440">
        <v>0</v>
      </c>
      <c r="V187" s="440">
        <v>0</v>
      </c>
      <c r="W187" s="440">
        <v>0</v>
      </c>
      <c r="X187" s="440">
        <v>0.05</v>
      </c>
      <c r="Y187" s="440">
        <v>0</v>
      </c>
      <c r="Z187" s="440">
        <v>0</v>
      </c>
      <c r="AA187" s="440">
        <v>9.0299999999999994</v>
      </c>
      <c r="AB187" s="440">
        <v>0</v>
      </c>
      <c r="AC187" s="440">
        <v>0</v>
      </c>
      <c r="AD187" s="440">
        <v>0</v>
      </c>
      <c r="AE187" s="440">
        <v>0</v>
      </c>
      <c r="AF187" s="440">
        <v>9.08</v>
      </c>
    </row>
    <row r="188" spans="1:32">
      <c r="A188" s="346" t="s">
        <v>1777</v>
      </c>
      <c r="B188" s="346">
        <v>180</v>
      </c>
      <c r="C188" s="346"/>
      <c r="D188" s="346"/>
      <c r="E188" s="346"/>
      <c r="F188" s="346"/>
      <c r="G188" s="346" t="s">
        <v>1968</v>
      </c>
      <c r="H188" s="346" t="s">
        <v>1856</v>
      </c>
      <c r="I188" s="346" t="s">
        <v>1849</v>
      </c>
      <c r="J188" s="346" t="s">
        <v>1851</v>
      </c>
      <c r="K188" s="346" t="s">
        <v>1852</v>
      </c>
      <c r="L188" s="346" t="s">
        <v>1874</v>
      </c>
      <c r="M188" s="346" t="s">
        <v>1889</v>
      </c>
      <c r="N188" s="440">
        <v>0</v>
      </c>
      <c r="O188" s="440">
        <v>169</v>
      </c>
      <c r="P188" s="440">
        <v>169</v>
      </c>
      <c r="Q188" s="440">
        <v>3294.95</v>
      </c>
      <c r="R188" s="440">
        <v>0</v>
      </c>
      <c r="S188" s="440">
        <v>0</v>
      </c>
      <c r="T188" s="440">
        <v>3294.95</v>
      </c>
      <c r="U188" s="440">
        <v>0</v>
      </c>
      <c r="V188" s="440">
        <v>0</v>
      </c>
      <c r="W188" s="440">
        <v>0</v>
      </c>
      <c r="X188" s="440">
        <v>17.059999999999999</v>
      </c>
      <c r="Y188" s="440">
        <v>0</v>
      </c>
      <c r="Z188" s="440">
        <v>0</v>
      </c>
      <c r="AA188" s="440">
        <v>3277.89</v>
      </c>
      <c r="AB188" s="440">
        <v>0</v>
      </c>
      <c r="AC188" s="440">
        <v>0</v>
      </c>
      <c r="AD188" s="440">
        <v>0</v>
      </c>
      <c r="AE188" s="440">
        <v>0</v>
      </c>
      <c r="AF188" s="440">
        <v>3294.95</v>
      </c>
    </row>
    <row r="189" spans="1:32">
      <c r="A189" s="346" t="s">
        <v>1777</v>
      </c>
      <c r="B189" s="346">
        <v>181</v>
      </c>
      <c r="C189" s="346"/>
      <c r="D189" s="346"/>
      <c r="E189" s="346"/>
      <c r="F189" s="346"/>
      <c r="G189" s="346" t="s">
        <v>1968</v>
      </c>
      <c r="H189" s="346" t="s">
        <v>1856</v>
      </c>
      <c r="I189" s="346" t="s">
        <v>1856</v>
      </c>
      <c r="J189" s="346" t="s">
        <v>1851</v>
      </c>
      <c r="K189" s="346" t="s">
        <v>1852</v>
      </c>
      <c r="L189" s="346" t="s">
        <v>1874</v>
      </c>
      <c r="M189" s="346" t="s">
        <v>1858</v>
      </c>
      <c r="N189" s="440">
        <v>0</v>
      </c>
      <c r="O189" s="440">
        <v>5305</v>
      </c>
      <c r="P189" s="440">
        <v>5305</v>
      </c>
      <c r="Q189" s="440">
        <v>92540.01999999999</v>
      </c>
      <c r="R189" s="440">
        <v>0</v>
      </c>
      <c r="S189" s="440">
        <v>0</v>
      </c>
      <c r="T189" s="440">
        <v>92540.01999999999</v>
      </c>
      <c r="U189" s="440">
        <v>0</v>
      </c>
      <c r="V189" s="440">
        <v>0</v>
      </c>
      <c r="W189" s="440">
        <v>0</v>
      </c>
      <c r="X189" s="440">
        <v>479.17</v>
      </c>
      <c r="Y189" s="440">
        <v>0</v>
      </c>
      <c r="Z189" s="440">
        <v>0</v>
      </c>
      <c r="AA189" s="440">
        <v>92060.849999999991</v>
      </c>
      <c r="AB189" s="440">
        <v>0</v>
      </c>
      <c r="AC189" s="440">
        <v>0</v>
      </c>
      <c r="AD189" s="440">
        <v>0</v>
      </c>
      <c r="AE189" s="440">
        <v>0</v>
      </c>
      <c r="AF189" s="440">
        <v>92540.01999999999</v>
      </c>
    </row>
    <row r="190" spans="1:32">
      <c r="A190" s="346" t="s">
        <v>1777</v>
      </c>
      <c r="B190" s="346">
        <v>182</v>
      </c>
      <c r="C190" s="346"/>
      <c r="D190" s="346"/>
      <c r="E190" s="346"/>
      <c r="F190" s="346"/>
      <c r="G190" s="346" t="s">
        <v>1969</v>
      </c>
      <c r="H190" s="346" t="s">
        <v>1861</v>
      </c>
      <c r="I190" s="346" t="s">
        <v>1861</v>
      </c>
      <c r="J190" s="346" t="s">
        <v>1857</v>
      </c>
      <c r="K190" s="346" t="s">
        <v>1852</v>
      </c>
      <c r="L190" s="346" t="s">
        <v>1864</v>
      </c>
      <c r="M190" s="346" t="s">
        <v>1864</v>
      </c>
      <c r="N190" s="440">
        <v>0</v>
      </c>
      <c r="O190" s="440">
        <v>188</v>
      </c>
      <c r="P190" s="440">
        <v>188</v>
      </c>
      <c r="Q190" s="440">
        <v>4892.5</v>
      </c>
      <c r="R190" s="440">
        <v>0</v>
      </c>
      <c r="S190" s="440">
        <v>0</v>
      </c>
      <c r="T190" s="440">
        <v>4892.5</v>
      </c>
      <c r="U190" s="440">
        <v>0</v>
      </c>
      <c r="V190" s="440">
        <v>0</v>
      </c>
      <c r="W190" s="440">
        <v>0</v>
      </c>
      <c r="X190" s="440">
        <v>25.33</v>
      </c>
      <c r="Y190" s="440">
        <v>0</v>
      </c>
      <c r="Z190" s="440">
        <v>4867.17</v>
      </c>
      <c r="AA190" s="440">
        <v>0</v>
      </c>
      <c r="AB190" s="440">
        <v>0</v>
      </c>
      <c r="AC190" s="440">
        <v>0</v>
      </c>
      <c r="AD190" s="440">
        <v>0</v>
      </c>
      <c r="AE190" s="440">
        <v>0</v>
      </c>
      <c r="AF190" s="440">
        <v>4892.5</v>
      </c>
    </row>
    <row r="191" spans="1:32">
      <c r="A191" s="346" t="s">
        <v>1777</v>
      </c>
      <c r="B191" s="346">
        <v>183</v>
      </c>
      <c r="C191" s="346"/>
      <c r="D191" s="346"/>
      <c r="E191" s="346"/>
      <c r="F191" s="346"/>
      <c r="G191" s="346" t="s">
        <v>1969</v>
      </c>
      <c r="H191" s="346" t="s">
        <v>1849</v>
      </c>
      <c r="I191" s="346" t="s">
        <v>1861</v>
      </c>
      <c r="J191" s="346" t="s">
        <v>1857</v>
      </c>
      <c r="K191" s="346" t="s">
        <v>1852</v>
      </c>
      <c r="L191" s="346" t="s">
        <v>1889</v>
      </c>
      <c r="M191" s="346" t="s">
        <v>1864</v>
      </c>
      <c r="N191" s="440">
        <v>0</v>
      </c>
      <c r="O191" s="440">
        <v>112</v>
      </c>
      <c r="P191" s="440">
        <v>112</v>
      </c>
      <c r="Q191" s="440">
        <v>2641.41</v>
      </c>
      <c r="R191" s="440">
        <v>0</v>
      </c>
      <c r="S191" s="440">
        <v>0</v>
      </c>
      <c r="T191" s="440">
        <v>2641.41</v>
      </c>
      <c r="U191" s="440">
        <v>0</v>
      </c>
      <c r="V191" s="440">
        <v>0</v>
      </c>
      <c r="W191" s="440">
        <v>0</v>
      </c>
      <c r="X191" s="440">
        <v>13.68</v>
      </c>
      <c r="Y191" s="440">
        <v>0</v>
      </c>
      <c r="Z191" s="440">
        <v>2627.73</v>
      </c>
      <c r="AA191" s="440">
        <v>0</v>
      </c>
      <c r="AB191" s="440">
        <v>0</v>
      </c>
      <c r="AC191" s="440">
        <v>0</v>
      </c>
      <c r="AD191" s="440">
        <v>0</v>
      </c>
      <c r="AE191" s="440">
        <v>0</v>
      </c>
      <c r="AF191" s="440">
        <v>2641.41</v>
      </c>
    </row>
    <row r="192" spans="1:32">
      <c r="A192" s="346" t="s">
        <v>1777</v>
      </c>
      <c r="B192" s="346">
        <v>184</v>
      </c>
      <c r="C192" s="346"/>
      <c r="D192" s="346"/>
      <c r="E192" s="346"/>
      <c r="F192" s="346"/>
      <c r="G192" s="346" t="s">
        <v>1969</v>
      </c>
      <c r="H192" s="346" t="s">
        <v>1856</v>
      </c>
      <c r="I192" s="346" t="s">
        <v>1856</v>
      </c>
      <c r="J192" s="346" t="s">
        <v>1857</v>
      </c>
      <c r="K192" s="346" t="s">
        <v>1852</v>
      </c>
      <c r="L192" s="346" t="s">
        <v>1874</v>
      </c>
      <c r="M192" s="346" t="s">
        <v>1858</v>
      </c>
      <c r="N192" s="440">
        <v>0</v>
      </c>
      <c r="O192" s="440">
        <v>6844</v>
      </c>
      <c r="P192" s="440">
        <v>6844</v>
      </c>
      <c r="Q192" s="440">
        <v>208.77</v>
      </c>
      <c r="R192" s="440">
        <v>0</v>
      </c>
      <c r="S192" s="440">
        <v>0</v>
      </c>
      <c r="T192" s="440">
        <v>208.77</v>
      </c>
      <c r="U192" s="440">
        <v>0</v>
      </c>
      <c r="V192" s="440">
        <v>0</v>
      </c>
      <c r="W192" s="440">
        <v>0</v>
      </c>
      <c r="X192" s="440">
        <v>1.08</v>
      </c>
      <c r="Y192" s="440">
        <v>0</v>
      </c>
      <c r="Z192" s="440">
        <v>207.69</v>
      </c>
      <c r="AA192" s="440">
        <v>0</v>
      </c>
      <c r="AB192" s="440">
        <v>0</v>
      </c>
      <c r="AC192" s="440">
        <v>0</v>
      </c>
      <c r="AD192" s="440">
        <v>0</v>
      </c>
      <c r="AE192" s="440">
        <v>0</v>
      </c>
      <c r="AF192" s="440">
        <v>208.77</v>
      </c>
    </row>
    <row r="193" spans="1:32">
      <c r="A193" s="346" t="s">
        <v>1777</v>
      </c>
      <c r="B193" s="346">
        <v>185</v>
      </c>
      <c r="C193" s="346"/>
      <c r="D193" s="346"/>
      <c r="E193" s="346"/>
      <c r="F193" s="346"/>
      <c r="G193" s="346" t="s">
        <v>1970</v>
      </c>
      <c r="H193" s="346" t="s">
        <v>1856</v>
      </c>
      <c r="I193" s="346" t="s">
        <v>1861</v>
      </c>
      <c r="J193" s="346" t="s">
        <v>1862</v>
      </c>
      <c r="K193" s="346" t="s">
        <v>1852</v>
      </c>
      <c r="L193" s="346" t="s">
        <v>1891</v>
      </c>
      <c r="M193" s="346" t="s">
        <v>1864</v>
      </c>
      <c r="N193" s="440">
        <v>163</v>
      </c>
      <c r="O193" s="440">
        <v>680356</v>
      </c>
      <c r="P193" s="440">
        <v>680356</v>
      </c>
      <c r="Q193" s="440">
        <v>6733394.1900000004</v>
      </c>
      <c r="R193" s="440">
        <v>75201.440000000002</v>
      </c>
      <c r="S193" s="440">
        <v>0</v>
      </c>
      <c r="T193" s="440">
        <v>6808595.6300000008</v>
      </c>
      <c r="U193" s="440">
        <v>6669960</v>
      </c>
      <c r="V193" s="440">
        <v>0</v>
      </c>
      <c r="W193" s="440">
        <v>75201.440000000002</v>
      </c>
      <c r="X193" s="440">
        <v>63434.189999999988</v>
      </c>
      <c r="Y193" s="440">
        <v>0</v>
      </c>
      <c r="Z193" s="440">
        <v>0</v>
      </c>
      <c r="AA193" s="440">
        <v>0</v>
      </c>
      <c r="AB193" s="440">
        <v>0</v>
      </c>
      <c r="AC193" s="440">
        <v>0</v>
      </c>
      <c r="AD193" s="440">
        <v>0</v>
      </c>
      <c r="AE193" s="440">
        <v>0</v>
      </c>
      <c r="AF193" s="440">
        <v>6808595.6300000008</v>
      </c>
    </row>
    <row r="194" spans="1:32">
      <c r="A194" s="346" t="s">
        <v>1777</v>
      </c>
      <c r="B194" s="346">
        <v>186</v>
      </c>
      <c r="C194" s="346"/>
      <c r="D194" s="346"/>
      <c r="E194" s="346"/>
      <c r="F194" s="346"/>
      <c r="G194" s="346" t="s">
        <v>1971</v>
      </c>
      <c r="H194" s="346" t="s">
        <v>1861</v>
      </c>
      <c r="I194" s="346" t="s">
        <v>1850</v>
      </c>
      <c r="J194" s="346" t="s">
        <v>1851</v>
      </c>
      <c r="K194" s="346" t="s">
        <v>1852</v>
      </c>
      <c r="L194" s="346" t="s">
        <v>1864</v>
      </c>
      <c r="M194" s="346" t="s">
        <v>1868</v>
      </c>
      <c r="N194" s="440">
        <v>0</v>
      </c>
      <c r="O194" s="440">
        <v>637</v>
      </c>
      <c r="P194" s="440">
        <v>637</v>
      </c>
      <c r="Q194" s="440">
        <v>14396.48</v>
      </c>
      <c r="R194" s="440">
        <v>193.85658000000001</v>
      </c>
      <c r="S194" s="440">
        <v>0</v>
      </c>
      <c r="T194" s="440">
        <v>14590.336579999999</v>
      </c>
      <c r="U194" s="440">
        <v>0</v>
      </c>
      <c r="V194" s="440">
        <v>0</v>
      </c>
      <c r="W194" s="440">
        <v>193.85658000000001</v>
      </c>
      <c r="X194" s="440">
        <v>87.43</v>
      </c>
      <c r="Y194" s="440">
        <v>0</v>
      </c>
      <c r="Z194" s="440">
        <v>0</v>
      </c>
      <c r="AA194" s="440">
        <v>14309.05</v>
      </c>
      <c r="AB194" s="440">
        <v>0</v>
      </c>
      <c r="AC194" s="440">
        <v>0</v>
      </c>
      <c r="AD194" s="440">
        <v>0</v>
      </c>
      <c r="AE194" s="440">
        <v>0</v>
      </c>
      <c r="AF194" s="440">
        <v>14590.336579999999</v>
      </c>
    </row>
    <row r="195" spans="1:32">
      <c r="A195" s="346" t="s">
        <v>1777</v>
      </c>
      <c r="B195" s="346">
        <v>187</v>
      </c>
      <c r="C195" s="346"/>
      <c r="D195" s="346"/>
      <c r="E195" s="346"/>
      <c r="F195" s="346"/>
      <c r="G195" s="346" t="s">
        <v>1971</v>
      </c>
      <c r="H195" s="346" t="s">
        <v>1849</v>
      </c>
      <c r="I195" s="346" t="s">
        <v>1865</v>
      </c>
      <c r="J195" s="346" t="s">
        <v>1851</v>
      </c>
      <c r="K195" s="346" t="s">
        <v>1852</v>
      </c>
      <c r="L195" s="346" t="s">
        <v>1859</v>
      </c>
      <c r="M195" s="346" t="s">
        <v>1866</v>
      </c>
      <c r="N195" s="440">
        <v>0</v>
      </c>
      <c r="O195" s="440">
        <v>71150</v>
      </c>
      <c r="P195" s="440">
        <v>71150</v>
      </c>
      <c r="Q195" s="440">
        <v>100046.51000000001</v>
      </c>
      <c r="R195" s="440">
        <v>7319.1929800000098</v>
      </c>
      <c r="S195" s="440">
        <v>0</v>
      </c>
      <c r="T195" s="440">
        <v>107365.70298000002</v>
      </c>
      <c r="U195" s="440">
        <v>0</v>
      </c>
      <c r="V195" s="440">
        <v>0</v>
      </c>
      <c r="W195" s="440">
        <v>7319.1929800000098</v>
      </c>
      <c r="X195" s="440">
        <v>761.23</v>
      </c>
      <c r="Y195" s="440">
        <v>0</v>
      </c>
      <c r="Z195" s="440">
        <v>0</v>
      </c>
      <c r="AA195" s="440">
        <v>139114.87999999998</v>
      </c>
      <c r="AB195" s="440">
        <v>0</v>
      </c>
      <c r="AC195" s="440">
        <v>0</v>
      </c>
      <c r="AD195" s="440">
        <v>0</v>
      </c>
      <c r="AE195" s="440">
        <v>0</v>
      </c>
      <c r="AF195" s="440">
        <v>147195.30297999998</v>
      </c>
    </row>
    <row r="196" spans="1:32">
      <c r="A196" s="346" t="s">
        <v>1777</v>
      </c>
      <c r="B196" s="346">
        <v>188</v>
      </c>
      <c r="C196" s="346"/>
      <c r="D196" s="346"/>
      <c r="E196" s="346"/>
      <c r="F196" s="346"/>
      <c r="G196" s="346" t="s">
        <v>1971</v>
      </c>
      <c r="H196" s="346" t="s">
        <v>1906</v>
      </c>
      <c r="I196" s="346" t="s">
        <v>1907</v>
      </c>
      <c r="J196" s="346" t="s">
        <v>1851</v>
      </c>
      <c r="K196" s="346" t="s">
        <v>1852</v>
      </c>
      <c r="L196" s="346" t="s">
        <v>1908</v>
      </c>
      <c r="M196" s="346" t="s">
        <v>1913</v>
      </c>
      <c r="N196" s="440">
        <v>0</v>
      </c>
      <c r="O196" s="440">
        <v>43219</v>
      </c>
      <c r="P196" s="440">
        <v>43219</v>
      </c>
      <c r="Q196" s="440">
        <v>3448.88</v>
      </c>
      <c r="R196" s="440">
        <v>0</v>
      </c>
      <c r="S196" s="440">
        <v>0</v>
      </c>
      <c r="T196" s="440">
        <v>3448.88</v>
      </c>
      <c r="U196" s="440">
        <v>0</v>
      </c>
      <c r="V196" s="440">
        <v>0</v>
      </c>
      <c r="W196" s="440">
        <v>0</v>
      </c>
      <c r="X196" s="440">
        <v>0</v>
      </c>
      <c r="Y196" s="440">
        <v>0</v>
      </c>
      <c r="Z196" s="440">
        <v>0</v>
      </c>
      <c r="AA196" s="440">
        <v>0</v>
      </c>
      <c r="AB196" s="440">
        <v>0</v>
      </c>
      <c r="AC196" s="440">
        <v>0</v>
      </c>
      <c r="AD196" s="440">
        <v>0</v>
      </c>
      <c r="AE196" s="440">
        <v>0</v>
      </c>
      <c r="AF196" s="440">
        <v>0</v>
      </c>
    </row>
    <row r="197" spans="1:32">
      <c r="A197" s="346" t="s">
        <v>1777</v>
      </c>
      <c r="B197" s="346">
        <v>189</v>
      </c>
      <c r="C197" s="346"/>
      <c r="D197" s="346"/>
      <c r="E197" s="346"/>
      <c r="F197" s="346"/>
      <c r="G197" s="346" t="s">
        <v>1971</v>
      </c>
      <c r="H197" s="346" t="s">
        <v>1850</v>
      </c>
      <c r="I197" s="346" t="s">
        <v>1861</v>
      </c>
      <c r="J197" s="346" t="s">
        <v>1851</v>
      </c>
      <c r="K197" s="346" t="s">
        <v>1852</v>
      </c>
      <c r="L197" s="346" t="s">
        <v>1868</v>
      </c>
      <c r="M197" s="346" t="s">
        <v>1864</v>
      </c>
      <c r="N197" s="440">
        <v>0</v>
      </c>
      <c r="O197" s="440">
        <v>883</v>
      </c>
      <c r="P197" s="440">
        <v>883</v>
      </c>
      <c r="Q197" s="440">
        <v>14643.61</v>
      </c>
      <c r="R197" s="440">
        <v>4359.7987299999995</v>
      </c>
      <c r="S197" s="440">
        <v>0</v>
      </c>
      <c r="T197" s="440">
        <v>19003.408729999999</v>
      </c>
      <c r="U197" s="440">
        <v>0</v>
      </c>
      <c r="V197" s="440">
        <v>0</v>
      </c>
      <c r="W197" s="440">
        <v>4359.7987299999995</v>
      </c>
      <c r="X197" s="440">
        <v>85.220000000000013</v>
      </c>
      <c r="Y197" s="440">
        <v>0</v>
      </c>
      <c r="Z197" s="440">
        <v>0</v>
      </c>
      <c r="AA197" s="440">
        <v>14558.39</v>
      </c>
      <c r="AB197" s="440">
        <v>0</v>
      </c>
      <c r="AC197" s="440">
        <v>0</v>
      </c>
      <c r="AD197" s="440">
        <v>0</v>
      </c>
      <c r="AE197" s="440">
        <v>0</v>
      </c>
      <c r="AF197" s="440">
        <v>19003.408729999999</v>
      </c>
    </row>
    <row r="198" spans="1:32">
      <c r="A198" s="346" t="s">
        <v>1777</v>
      </c>
      <c r="B198" s="346">
        <v>190</v>
      </c>
      <c r="C198" s="346"/>
      <c r="D198" s="346"/>
      <c r="E198" s="346"/>
      <c r="F198" s="346"/>
      <c r="G198" s="346" t="s">
        <v>1971</v>
      </c>
      <c r="H198" s="346" t="s">
        <v>1850</v>
      </c>
      <c r="I198" s="346" t="s">
        <v>1856</v>
      </c>
      <c r="J198" s="346" t="s">
        <v>1851</v>
      </c>
      <c r="K198" s="346" t="s">
        <v>1852</v>
      </c>
      <c r="L198" s="346" t="s">
        <v>1868</v>
      </c>
      <c r="M198" s="346" t="s">
        <v>1858</v>
      </c>
      <c r="N198" s="440">
        <v>0</v>
      </c>
      <c r="O198" s="440">
        <v>1047</v>
      </c>
      <c r="P198" s="440">
        <v>1047</v>
      </c>
      <c r="Q198" s="440">
        <v>14805.149999999998</v>
      </c>
      <c r="R198" s="440">
        <v>595.91179999999986</v>
      </c>
      <c r="S198" s="440">
        <v>0</v>
      </c>
      <c r="T198" s="440">
        <v>15401.061799999998</v>
      </c>
      <c r="U198" s="440">
        <v>0</v>
      </c>
      <c r="V198" s="440">
        <v>0</v>
      </c>
      <c r="W198" s="440">
        <v>595.91179999999986</v>
      </c>
      <c r="X198" s="440">
        <v>86.16</v>
      </c>
      <c r="Y198" s="440">
        <v>0</v>
      </c>
      <c r="Z198" s="440">
        <v>0</v>
      </c>
      <c r="AA198" s="440">
        <v>14718.989999999998</v>
      </c>
      <c r="AB198" s="440">
        <v>0</v>
      </c>
      <c r="AC198" s="440">
        <v>0</v>
      </c>
      <c r="AD198" s="440">
        <v>0</v>
      </c>
      <c r="AE198" s="440">
        <v>0</v>
      </c>
      <c r="AF198" s="440">
        <v>15401.061799999998</v>
      </c>
    </row>
    <row r="199" spans="1:32">
      <c r="A199" s="346" t="s">
        <v>1777</v>
      </c>
      <c r="B199" s="346">
        <v>191</v>
      </c>
      <c r="C199" s="346"/>
      <c r="D199" s="346"/>
      <c r="E199" s="346"/>
      <c r="F199" s="346"/>
      <c r="G199" s="346" t="s">
        <v>1971</v>
      </c>
      <c r="H199" s="346" t="s">
        <v>1865</v>
      </c>
      <c r="I199" s="346" t="s">
        <v>1849</v>
      </c>
      <c r="J199" s="346" t="s">
        <v>1851</v>
      </c>
      <c r="K199" s="346" t="s">
        <v>1852</v>
      </c>
      <c r="L199" s="346" t="s">
        <v>1866</v>
      </c>
      <c r="M199" s="346" t="s">
        <v>1902</v>
      </c>
      <c r="N199" s="440">
        <v>0</v>
      </c>
      <c r="O199" s="440">
        <v>126358</v>
      </c>
      <c r="P199" s="440">
        <v>126358</v>
      </c>
      <c r="Q199" s="440">
        <v>56068.959999999999</v>
      </c>
      <c r="R199" s="440">
        <v>90688.95259999999</v>
      </c>
      <c r="S199" s="440">
        <v>0</v>
      </c>
      <c r="T199" s="440">
        <v>146757.91259999998</v>
      </c>
      <c r="U199" s="440">
        <v>0</v>
      </c>
      <c r="V199" s="440">
        <v>0</v>
      </c>
      <c r="W199" s="440">
        <v>90688.95259999999</v>
      </c>
      <c r="X199" s="440">
        <v>333.87</v>
      </c>
      <c r="Y199" s="440">
        <v>0</v>
      </c>
      <c r="Z199" s="440">
        <v>0</v>
      </c>
      <c r="AA199" s="440">
        <v>55735.09</v>
      </c>
      <c r="AB199" s="440">
        <v>0</v>
      </c>
      <c r="AC199" s="440">
        <v>0</v>
      </c>
      <c r="AD199" s="440">
        <v>0</v>
      </c>
      <c r="AE199" s="440">
        <v>0</v>
      </c>
      <c r="AF199" s="440">
        <v>146757.91259999998</v>
      </c>
    </row>
    <row r="200" spans="1:32">
      <c r="A200" s="346" t="s">
        <v>1777</v>
      </c>
      <c r="B200" s="346">
        <v>192</v>
      </c>
      <c r="C200" s="346"/>
      <c r="D200" s="346"/>
      <c r="E200" s="346"/>
      <c r="F200" s="346"/>
      <c r="G200" s="346" t="s">
        <v>1971</v>
      </c>
      <c r="H200" s="346" t="s">
        <v>1849</v>
      </c>
      <c r="I200" s="346" t="s">
        <v>1849</v>
      </c>
      <c r="J200" s="346" t="s">
        <v>1851</v>
      </c>
      <c r="K200" s="346" t="s">
        <v>1852</v>
      </c>
      <c r="L200" s="346" t="s">
        <v>1859</v>
      </c>
      <c r="M200" s="346" t="s">
        <v>1902</v>
      </c>
      <c r="N200" s="440">
        <v>0</v>
      </c>
      <c r="O200" s="440">
        <v>89398</v>
      </c>
      <c r="P200" s="440">
        <v>89398</v>
      </c>
      <c r="Q200" s="440">
        <v>11171.029999999999</v>
      </c>
      <c r="R200" s="440">
        <v>13944</v>
      </c>
      <c r="S200" s="440">
        <v>0</v>
      </c>
      <c r="T200" s="440">
        <v>25115.03</v>
      </c>
      <c r="U200" s="440">
        <v>0</v>
      </c>
      <c r="V200" s="440">
        <v>0</v>
      </c>
      <c r="W200" s="440">
        <v>13944</v>
      </c>
      <c r="X200" s="440">
        <v>59.23</v>
      </c>
      <c r="Y200" s="440">
        <v>0</v>
      </c>
      <c r="Z200" s="440">
        <v>0</v>
      </c>
      <c r="AA200" s="440">
        <v>11111.800000000001</v>
      </c>
      <c r="AB200" s="440">
        <v>0</v>
      </c>
      <c r="AC200" s="440">
        <v>0</v>
      </c>
      <c r="AD200" s="440">
        <v>0</v>
      </c>
      <c r="AE200" s="440">
        <v>0</v>
      </c>
      <c r="AF200" s="440">
        <v>25115.03</v>
      </c>
    </row>
    <row r="201" spans="1:32">
      <c r="A201" s="346" t="s">
        <v>1777</v>
      </c>
      <c r="B201" s="346">
        <v>193</v>
      </c>
      <c r="C201" s="346"/>
      <c r="D201" s="346"/>
      <c r="E201" s="346"/>
      <c r="F201" s="346"/>
      <c r="G201" s="346" t="s">
        <v>1971</v>
      </c>
      <c r="H201" s="346" t="s">
        <v>1849</v>
      </c>
      <c r="I201" s="346" t="s">
        <v>1850</v>
      </c>
      <c r="J201" s="346" t="s">
        <v>1851</v>
      </c>
      <c r="K201" s="346" t="s">
        <v>1852</v>
      </c>
      <c r="L201" s="346" t="s">
        <v>1853</v>
      </c>
      <c r="M201" s="346" t="s">
        <v>1854</v>
      </c>
      <c r="N201" s="440">
        <v>0</v>
      </c>
      <c r="O201" s="440">
        <v>72</v>
      </c>
      <c r="P201" s="440">
        <v>72</v>
      </c>
      <c r="Q201" s="440">
        <v>4538.5</v>
      </c>
      <c r="R201" s="440">
        <v>113.86976</v>
      </c>
      <c r="S201" s="440">
        <v>0</v>
      </c>
      <c r="T201" s="440">
        <v>4652.3697599999996</v>
      </c>
      <c r="U201" s="440">
        <v>0</v>
      </c>
      <c r="V201" s="440">
        <v>0</v>
      </c>
      <c r="W201" s="440">
        <v>113.86976</v>
      </c>
      <c r="X201" s="440">
        <v>23.5</v>
      </c>
      <c r="Y201" s="440">
        <v>0</v>
      </c>
      <c r="Z201" s="440">
        <v>0</v>
      </c>
      <c r="AA201" s="440">
        <v>4515</v>
      </c>
      <c r="AB201" s="440">
        <v>0</v>
      </c>
      <c r="AC201" s="440">
        <v>0</v>
      </c>
      <c r="AD201" s="440">
        <v>0</v>
      </c>
      <c r="AE201" s="440">
        <v>0</v>
      </c>
      <c r="AF201" s="440">
        <v>4652.3697599999996</v>
      </c>
    </row>
    <row r="202" spans="1:32">
      <c r="A202" s="346" t="s">
        <v>1777</v>
      </c>
      <c r="B202" s="346">
        <v>194</v>
      </c>
      <c r="C202" s="346"/>
      <c r="D202" s="346"/>
      <c r="E202" s="346"/>
      <c r="F202" s="346"/>
      <c r="G202" s="346" t="s">
        <v>1971</v>
      </c>
      <c r="H202" s="346" t="s">
        <v>1849</v>
      </c>
      <c r="I202" s="346" t="s">
        <v>1865</v>
      </c>
      <c r="J202" s="346" t="s">
        <v>1851</v>
      </c>
      <c r="K202" s="346" t="s">
        <v>1852</v>
      </c>
      <c r="L202" s="346" t="s">
        <v>1859</v>
      </c>
      <c r="M202" s="346" t="s">
        <v>1866</v>
      </c>
      <c r="N202" s="440">
        <v>0</v>
      </c>
      <c r="O202" s="440">
        <v>1992</v>
      </c>
      <c r="P202" s="440">
        <v>1992</v>
      </c>
      <c r="Q202" s="440">
        <v>39829.599999999991</v>
      </c>
      <c r="R202" s="440">
        <v>0</v>
      </c>
      <c r="S202" s="440">
        <v>0</v>
      </c>
      <c r="T202" s="440">
        <v>39829.599999999991</v>
      </c>
      <c r="U202" s="440">
        <v>0</v>
      </c>
      <c r="V202" s="440">
        <v>0</v>
      </c>
      <c r="W202" s="440">
        <v>0</v>
      </c>
      <c r="X202" s="440">
        <v>0</v>
      </c>
      <c r="Y202" s="440">
        <v>0</v>
      </c>
      <c r="Z202" s="440">
        <v>0</v>
      </c>
      <c r="AA202" s="440">
        <v>0</v>
      </c>
      <c r="AB202" s="440">
        <v>0</v>
      </c>
      <c r="AC202" s="440">
        <v>0</v>
      </c>
      <c r="AD202" s="440">
        <v>0</v>
      </c>
      <c r="AE202" s="440">
        <v>0</v>
      </c>
      <c r="AF202" s="440">
        <v>0</v>
      </c>
    </row>
    <row r="203" spans="1:32">
      <c r="A203" s="346" t="s">
        <v>1777</v>
      </c>
      <c r="B203" s="346">
        <v>195</v>
      </c>
      <c r="C203" s="346"/>
      <c r="D203" s="346"/>
      <c r="E203" s="346"/>
      <c r="F203" s="346"/>
      <c r="G203" s="346" t="s">
        <v>1971</v>
      </c>
      <c r="H203" s="346" t="s">
        <v>1856</v>
      </c>
      <c r="I203" s="346" t="s">
        <v>1850</v>
      </c>
      <c r="J203" s="346" t="s">
        <v>1851</v>
      </c>
      <c r="K203" s="346" t="s">
        <v>1852</v>
      </c>
      <c r="L203" s="346" t="s">
        <v>1858</v>
      </c>
      <c r="M203" s="346" t="s">
        <v>1868</v>
      </c>
      <c r="N203" s="440">
        <v>0</v>
      </c>
      <c r="O203" s="440">
        <v>0</v>
      </c>
      <c r="P203" s="440">
        <v>0</v>
      </c>
      <c r="Q203" s="440">
        <v>2584.64</v>
      </c>
      <c r="R203" s="440">
        <v>213.82024000000004</v>
      </c>
      <c r="S203" s="440">
        <v>0</v>
      </c>
      <c r="T203" s="440">
        <v>2798.4602399999999</v>
      </c>
      <c r="U203" s="440">
        <v>0</v>
      </c>
      <c r="V203" s="440">
        <v>0</v>
      </c>
      <c r="W203" s="440">
        <v>213.82024000000004</v>
      </c>
      <c r="X203" s="440">
        <v>15.04</v>
      </c>
      <c r="Y203" s="440">
        <v>0</v>
      </c>
      <c r="Z203" s="440">
        <v>0</v>
      </c>
      <c r="AA203" s="440">
        <v>2569.6</v>
      </c>
      <c r="AB203" s="440">
        <v>0</v>
      </c>
      <c r="AC203" s="440">
        <v>0</v>
      </c>
      <c r="AD203" s="440">
        <v>0</v>
      </c>
      <c r="AE203" s="440">
        <v>0</v>
      </c>
      <c r="AF203" s="440">
        <v>2798.4602399999999</v>
      </c>
    </row>
    <row r="204" spans="1:32">
      <c r="A204" s="346" t="s">
        <v>1777</v>
      </c>
      <c r="B204" s="346">
        <v>196</v>
      </c>
      <c r="C204" s="346"/>
      <c r="D204" s="346"/>
      <c r="E204" s="346"/>
      <c r="F204" s="346"/>
      <c r="G204" s="346" t="s">
        <v>1971</v>
      </c>
      <c r="H204" s="346" t="s">
        <v>1906</v>
      </c>
      <c r="I204" s="346" t="s">
        <v>1907</v>
      </c>
      <c r="J204" s="346" t="s">
        <v>1851</v>
      </c>
      <c r="K204" s="346" t="s">
        <v>1852</v>
      </c>
      <c r="L204" s="346" t="s">
        <v>1908</v>
      </c>
      <c r="M204" s="346" t="s">
        <v>1909</v>
      </c>
      <c r="N204" s="440">
        <v>0</v>
      </c>
      <c r="O204" s="440">
        <v>120</v>
      </c>
      <c r="P204" s="440">
        <v>120</v>
      </c>
      <c r="Q204" s="440">
        <v>2059.64</v>
      </c>
      <c r="R204" s="440">
        <v>3652.4783399999997</v>
      </c>
      <c r="S204" s="440">
        <v>0</v>
      </c>
      <c r="T204" s="440">
        <v>5712.1183399999991</v>
      </c>
      <c r="U204" s="440">
        <v>0</v>
      </c>
      <c r="V204" s="440">
        <v>0</v>
      </c>
      <c r="W204" s="440">
        <v>3652.4783399999997</v>
      </c>
      <c r="X204" s="440">
        <v>32.06</v>
      </c>
      <c r="Y204" s="440">
        <v>0</v>
      </c>
      <c r="Z204" s="440">
        <v>0</v>
      </c>
      <c r="AA204" s="440">
        <v>5476.4599999999991</v>
      </c>
      <c r="AB204" s="440">
        <v>0</v>
      </c>
      <c r="AC204" s="440">
        <v>0</v>
      </c>
      <c r="AD204" s="440">
        <v>0</v>
      </c>
      <c r="AE204" s="440">
        <v>0</v>
      </c>
      <c r="AF204" s="440">
        <v>9160.9983399999983</v>
      </c>
    </row>
    <row r="205" spans="1:32">
      <c r="A205" s="346" t="s">
        <v>1777</v>
      </c>
      <c r="B205" s="346">
        <v>197</v>
      </c>
      <c r="C205" s="346"/>
      <c r="D205" s="346"/>
      <c r="E205" s="346"/>
      <c r="F205" s="346"/>
      <c r="G205" s="346" t="s">
        <v>1971</v>
      </c>
      <c r="H205" s="346" t="s">
        <v>1861</v>
      </c>
      <c r="I205" s="346" t="s">
        <v>1849</v>
      </c>
      <c r="J205" s="346" t="s">
        <v>1851</v>
      </c>
      <c r="K205" s="346" t="s">
        <v>1852</v>
      </c>
      <c r="L205" s="346" t="s">
        <v>1864</v>
      </c>
      <c r="M205" s="346" t="s">
        <v>1902</v>
      </c>
      <c r="N205" s="440">
        <v>0</v>
      </c>
      <c r="O205" s="440">
        <v>0</v>
      </c>
      <c r="P205" s="440">
        <v>0</v>
      </c>
      <c r="Q205" s="440">
        <v>726.16</v>
      </c>
      <c r="R205" s="440">
        <v>0</v>
      </c>
      <c r="S205" s="440">
        <v>0</v>
      </c>
      <c r="T205" s="440">
        <v>726.16</v>
      </c>
      <c r="U205" s="440">
        <v>0</v>
      </c>
      <c r="V205" s="440">
        <v>0</v>
      </c>
      <c r="W205" s="440">
        <v>0</v>
      </c>
      <c r="X205" s="440">
        <v>3.76</v>
      </c>
      <c r="Y205" s="440">
        <v>0</v>
      </c>
      <c r="Z205" s="440">
        <v>0</v>
      </c>
      <c r="AA205" s="440">
        <v>722.4</v>
      </c>
      <c r="AB205" s="440">
        <v>0</v>
      </c>
      <c r="AC205" s="440">
        <v>0</v>
      </c>
      <c r="AD205" s="440">
        <v>0</v>
      </c>
      <c r="AE205" s="440">
        <v>0</v>
      </c>
      <c r="AF205" s="440">
        <v>726.16</v>
      </c>
    </row>
    <row r="206" spans="1:32">
      <c r="A206" s="346" t="s">
        <v>1777</v>
      </c>
      <c r="B206" s="346">
        <v>198</v>
      </c>
      <c r="C206" s="346"/>
      <c r="D206" s="346"/>
      <c r="E206" s="346"/>
      <c r="F206" s="346"/>
      <c r="G206" s="346" t="s">
        <v>1971</v>
      </c>
      <c r="H206" s="346" t="s">
        <v>1861</v>
      </c>
      <c r="I206" s="346" t="s">
        <v>1865</v>
      </c>
      <c r="J206" s="346" t="s">
        <v>1851</v>
      </c>
      <c r="K206" s="346" t="s">
        <v>1852</v>
      </c>
      <c r="L206" s="346" t="s">
        <v>1864</v>
      </c>
      <c r="M206" s="346" t="s">
        <v>1877</v>
      </c>
      <c r="N206" s="440">
        <v>0</v>
      </c>
      <c r="O206" s="440">
        <v>24</v>
      </c>
      <c r="P206" s="440">
        <v>24</v>
      </c>
      <c r="Q206" s="440">
        <v>217.84999999999997</v>
      </c>
      <c r="R206" s="440">
        <v>21.423690000000001</v>
      </c>
      <c r="S206" s="440">
        <v>0</v>
      </c>
      <c r="T206" s="440">
        <v>239.27368999999996</v>
      </c>
      <c r="U206" s="440">
        <v>0</v>
      </c>
      <c r="V206" s="440">
        <v>0</v>
      </c>
      <c r="W206" s="440">
        <v>21.423690000000001</v>
      </c>
      <c r="X206" s="440">
        <v>1.1299999999999999</v>
      </c>
      <c r="Y206" s="440">
        <v>0</v>
      </c>
      <c r="Z206" s="440">
        <v>0</v>
      </c>
      <c r="AA206" s="440">
        <v>0</v>
      </c>
      <c r="AB206" s="440">
        <v>0</v>
      </c>
      <c r="AC206" s="440">
        <v>0</v>
      </c>
      <c r="AD206" s="440">
        <v>0</v>
      </c>
      <c r="AE206" s="440">
        <v>0</v>
      </c>
      <c r="AF206" s="440">
        <v>22.55369</v>
      </c>
    </row>
    <row r="207" spans="1:32">
      <c r="A207" s="346" t="s">
        <v>1777</v>
      </c>
      <c r="B207" s="346">
        <v>199</v>
      </c>
      <c r="C207" s="346"/>
      <c r="D207" s="346"/>
      <c r="E207" s="346"/>
      <c r="F207" s="346"/>
      <c r="G207" s="346" t="s">
        <v>1972</v>
      </c>
      <c r="H207" s="346" t="s">
        <v>1861</v>
      </c>
      <c r="I207" s="346" t="s">
        <v>1850</v>
      </c>
      <c r="J207" s="346" t="s">
        <v>1857</v>
      </c>
      <c r="K207" s="346" t="s">
        <v>1852</v>
      </c>
      <c r="L207" s="346" t="s">
        <v>1864</v>
      </c>
      <c r="M207" s="346" t="s">
        <v>1868</v>
      </c>
      <c r="N207" s="440">
        <v>0</v>
      </c>
      <c r="O207" s="440">
        <v>265</v>
      </c>
      <c r="P207" s="440">
        <v>265</v>
      </c>
      <c r="Q207" s="440">
        <v>10217.409999999998</v>
      </c>
      <c r="R207" s="440">
        <v>0</v>
      </c>
      <c r="S207" s="440">
        <v>0</v>
      </c>
      <c r="T207" s="440">
        <v>10217.409999999998</v>
      </c>
      <c r="U207" s="440">
        <v>0</v>
      </c>
      <c r="V207" s="440">
        <v>0</v>
      </c>
      <c r="W207" s="440">
        <v>0</v>
      </c>
      <c r="X207" s="440">
        <v>59.46</v>
      </c>
      <c r="Y207" s="440">
        <v>0</v>
      </c>
      <c r="Z207" s="440">
        <v>10157.949999999999</v>
      </c>
      <c r="AA207" s="440">
        <v>0</v>
      </c>
      <c r="AB207" s="440">
        <v>0</v>
      </c>
      <c r="AC207" s="440">
        <v>0</v>
      </c>
      <c r="AD207" s="440">
        <v>0</v>
      </c>
      <c r="AE207" s="440">
        <v>0</v>
      </c>
      <c r="AF207" s="440">
        <v>10217.409999999998</v>
      </c>
    </row>
    <row r="208" spans="1:32">
      <c r="A208" s="346" t="s">
        <v>1777</v>
      </c>
      <c r="B208" s="346">
        <v>200</v>
      </c>
      <c r="C208" s="346"/>
      <c r="D208" s="346"/>
      <c r="E208" s="346"/>
      <c r="F208" s="346"/>
      <c r="G208" s="346" t="s">
        <v>1972</v>
      </c>
      <c r="H208" s="346" t="s">
        <v>1849</v>
      </c>
      <c r="I208" s="346" t="s">
        <v>1865</v>
      </c>
      <c r="J208" s="346" t="s">
        <v>1857</v>
      </c>
      <c r="K208" s="346" t="s">
        <v>1852</v>
      </c>
      <c r="L208" s="346" t="s">
        <v>1902</v>
      </c>
      <c r="M208" s="346" t="s">
        <v>1866</v>
      </c>
      <c r="N208" s="440">
        <v>0</v>
      </c>
      <c r="O208" s="440">
        <v>439</v>
      </c>
      <c r="P208" s="440">
        <v>439</v>
      </c>
      <c r="Q208" s="440">
        <v>9442.01</v>
      </c>
      <c r="R208" s="440">
        <v>0</v>
      </c>
      <c r="S208" s="440">
        <v>0</v>
      </c>
      <c r="T208" s="440">
        <v>9442.01</v>
      </c>
      <c r="U208" s="440">
        <v>0</v>
      </c>
      <c r="V208" s="440">
        <v>0</v>
      </c>
      <c r="W208" s="440">
        <v>0</v>
      </c>
      <c r="X208" s="440">
        <v>54.94</v>
      </c>
      <c r="Y208" s="440">
        <v>0</v>
      </c>
      <c r="Z208" s="440">
        <v>9387.07</v>
      </c>
      <c r="AA208" s="440">
        <v>0</v>
      </c>
      <c r="AB208" s="440">
        <v>0</v>
      </c>
      <c r="AC208" s="440">
        <v>0</v>
      </c>
      <c r="AD208" s="440">
        <v>0</v>
      </c>
      <c r="AE208" s="440">
        <v>0</v>
      </c>
      <c r="AF208" s="440">
        <v>9442.01</v>
      </c>
    </row>
    <row r="209" spans="1:32">
      <c r="A209" s="346" t="s">
        <v>1777</v>
      </c>
      <c r="B209" s="346">
        <v>201</v>
      </c>
      <c r="C209" s="346"/>
      <c r="D209" s="346"/>
      <c r="E209" s="346"/>
      <c r="F209" s="346"/>
      <c r="G209" s="346" t="s">
        <v>1972</v>
      </c>
      <c r="H209" s="346" t="s">
        <v>1849</v>
      </c>
      <c r="I209" s="346" t="s">
        <v>1865</v>
      </c>
      <c r="J209" s="346" t="s">
        <v>1857</v>
      </c>
      <c r="K209" s="346" t="s">
        <v>1852</v>
      </c>
      <c r="L209" s="346" t="s">
        <v>1859</v>
      </c>
      <c r="M209" s="346" t="s">
        <v>1866</v>
      </c>
      <c r="N209" s="440">
        <v>0</v>
      </c>
      <c r="O209" s="440">
        <v>59684</v>
      </c>
      <c r="P209" s="440">
        <v>59684</v>
      </c>
      <c r="Q209" s="440">
        <v>495523.38000000006</v>
      </c>
      <c r="R209" s="440">
        <v>2138.4541600000002</v>
      </c>
      <c r="S209" s="440">
        <v>0</v>
      </c>
      <c r="T209" s="440">
        <v>497661.83416000009</v>
      </c>
      <c r="U209" s="440">
        <v>0</v>
      </c>
      <c r="V209" s="440">
        <v>0</v>
      </c>
      <c r="W209" s="440">
        <v>2138.4541600000002</v>
      </c>
      <c r="X209" s="440">
        <v>3564.7300000000005</v>
      </c>
      <c r="Y209" s="440">
        <v>0</v>
      </c>
      <c r="Z209" s="440">
        <v>491958.65</v>
      </c>
      <c r="AA209" s="440">
        <v>0</v>
      </c>
      <c r="AB209" s="440">
        <v>0</v>
      </c>
      <c r="AC209" s="440">
        <v>0</v>
      </c>
      <c r="AD209" s="440">
        <v>0</v>
      </c>
      <c r="AE209" s="440">
        <v>0</v>
      </c>
      <c r="AF209" s="440">
        <v>497661.83416000003</v>
      </c>
    </row>
    <row r="210" spans="1:32">
      <c r="A210" s="346" t="s">
        <v>1777</v>
      </c>
      <c r="B210" s="346">
        <v>202</v>
      </c>
      <c r="C210" s="346"/>
      <c r="D210" s="346"/>
      <c r="E210" s="346"/>
      <c r="F210" s="346"/>
      <c r="G210" s="346" t="s">
        <v>1972</v>
      </c>
      <c r="H210" s="346" t="s">
        <v>1906</v>
      </c>
      <c r="I210" s="346" t="s">
        <v>1907</v>
      </c>
      <c r="J210" s="346" t="s">
        <v>1857</v>
      </c>
      <c r="K210" s="346" t="s">
        <v>1852</v>
      </c>
      <c r="L210" s="346" t="s">
        <v>1908</v>
      </c>
      <c r="M210" s="346" t="s">
        <v>1913</v>
      </c>
      <c r="N210" s="440">
        <v>0</v>
      </c>
      <c r="O210" s="440">
        <v>104</v>
      </c>
      <c r="P210" s="440">
        <v>104</v>
      </c>
      <c r="Q210" s="440">
        <v>840.00999999999988</v>
      </c>
      <c r="R210" s="440">
        <v>0</v>
      </c>
      <c r="S210" s="440">
        <v>0</v>
      </c>
      <c r="T210" s="440">
        <v>840.00999999999988</v>
      </c>
      <c r="U210" s="440">
        <v>0</v>
      </c>
      <c r="V210" s="440">
        <v>0</v>
      </c>
      <c r="W210" s="440">
        <v>0</v>
      </c>
      <c r="X210" s="440">
        <v>0</v>
      </c>
      <c r="Y210" s="440">
        <v>0</v>
      </c>
      <c r="Z210" s="440">
        <v>0</v>
      </c>
      <c r="AA210" s="440">
        <v>0</v>
      </c>
      <c r="AB210" s="440">
        <v>0</v>
      </c>
      <c r="AC210" s="440">
        <v>0</v>
      </c>
      <c r="AD210" s="440">
        <v>0</v>
      </c>
      <c r="AE210" s="440">
        <v>0</v>
      </c>
      <c r="AF210" s="440">
        <v>0</v>
      </c>
    </row>
    <row r="211" spans="1:32">
      <c r="A211" s="346" t="s">
        <v>1777</v>
      </c>
      <c r="B211" s="346">
        <v>203</v>
      </c>
      <c r="C211" s="346"/>
      <c r="D211" s="346"/>
      <c r="E211" s="346"/>
      <c r="F211" s="346"/>
      <c r="G211" s="346" t="s">
        <v>1972</v>
      </c>
      <c r="H211" s="346" t="s">
        <v>1850</v>
      </c>
      <c r="I211" s="346" t="s">
        <v>1850</v>
      </c>
      <c r="J211" s="346" t="s">
        <v>1857</v>
      </c>
      <c r="K211" s="346" t="s">
        <v>1852</v>
      </c>
      <c r="L211" s="346" t="s">
        <v>1868</v>
      </c>
      <c r="M211" s="346" t="s">
        <v>1868</v>
      </c>
      <c r="N211" s="440">
        <v>0</v>
      </c>
      <c r="O211" s="440">
        <v>103</v>
      </c>
      <c r="P211" s="440">
        <v>103</v>
      </c>
      <c r="Q211" s="440">
        <v>831.93</v>
      </c>
      <c r="R211" s="440">
        <v>0</v>
      </c>
      <c r="S211" s="440">
        <v>0</v>
      </c>
      <c r="T211" s="440">
        <v>831.93</v>
      </c>
      <c r="U211" s="440">
        <v>0</v>
      </c>
      <c r="V211" s="440">
        <v>0</v>
      </c>
      <c r="W211" s="440">
        <v>0</v>
      </c>
      <c r="X211" s="440">
        <v>4.84</v>
      </c>
      <c r="Y211" s="440">
        <v>0</v>
      </c>
      <c r="Z211" s="440">
        <v>827.08999999999992</v>
      </c>
      <c r="AA211" s="440">
        <v>0</v>
      </c>
      <c r="AB211" s="440">
        <v>0</v>
      </c>
      <c r="AC211" s="440">
        <v>0</v>
      </c>
      <c r="AD211" s="440">
        <v>0</v>
      </c>
      <c r="AE211" s="440">
        <v>0</v>
      </c>
      <c r="AF211" s="440">
        <v>831.93</v>
      </c>
    </row>
    <row r="212" spans="1:32">
      <c r="A212" s="346" t="s">
        <v>1777</v>
      </c>
      <c r="B212" s="346">
        <v>204</v>
      </c>
      <c r="C212" s="346"/>
      <c r="D212" s="346"/>
      <c r="E212" s="346"/>
      <c r="F212" s="346"/>
      <c r="G212" s="346" t="s">
        <v>1972</v>
      </c>
      <c r="H212" s="346" t="s">
        <v>1865</v>
      </c>
      <c r="I212" s="346" t="s">
        <v>1849</v>
      </c>
      <c r="J212" s="346" t="s">
        <v>1857</v>
      </c>
      <c r="K212" s="346" t="s">
        <v>1852</v>
      </c>
      <c r="L212" s="346" t="s">
        <v>1866</v>
      </c>
      <c r="M212" s="346" t="s">
        <v>1902</v>
      </c>
      <c r="N212" s="440">
        <v>0</v>
      </c>
      <c r="O212" s="440">
        <v>45318</v>
      </c>
      <c r="P212" s="440">
        <v>45318</v>
      </c>
      <c r="Q212" s="440">
        <v>272958.84000000003</v>
      </c>
      <c r="R212" s="440">
        <v>0</v>
      </c>
      <c r="S212" s="440">
        <v>0</v>
      </c>
      <c r="T212" s="440">
        <v>272958.84000000003</v>
      </c>
      <c r="U212" s="440">
        <v>0</v>
      </c>
      <c r="V212" s="440">
        <v>0</v>
      </c>
      <c r="W212" s="440">
        <v>0</v>
      </c>
      <c r="X212" s="440">
        <v>2239.7700000000004</v>
      </c>
      <c r="Y212" s="440">
        <v>0</v>
      </c>
      <c r="Z212" s="440">
        <v>274458.78999999992</v>
      </c>
      <c r="AA212" s="440">
        <v>0</v>
      </c>
      <c r="AB212" s="440">
        <v>0</v>
      </c>
      <c r="AC212" s="440">
        <v>0</v>
      </c>
      <c r="AD212" s="440">
        <v>0</v>
      </c>
      <c r="AE212" s="440">
        <v>0</v>
      </c>
      <c r="AF212" s="440">
        <v>276698.55999999994</v>
      </c>
    </row>
    <row r="213" spans="1:32">
      <c r="A213" s="346" t="s">
        <v>1777</v>
      </c>
      <c r="B213" s="346">
        <v>205</v>
      </c>
      <c r="C213" s="346"/>
      <c r="D213" s="346"/>
      <c r="E213" s="346"/>
      <c r="F213" s="346"/>
      <c r="G213" s="346" t="s">
        <v>1972</v>
      </c>
      <c r="H213" s="346" t="s">
        <v>1861</v>
      </c>
      <c r="I213" s="346" t="s">
        <v>1856</v>
      </c>
      <c r="J213" s="346" t="s">
        <v>1857</v>
      </c>
      <c r="K213" s="346" t="s">
        <v>1852</v>
      </c>
      <c r="L213" s="346" t="s">
        <v>1864</v>
      </c>
      <c r="M213" s="346" t="s">
        <v>1858</v>
      </c>
      <c r="N213" s="440">
        <v>0</v>
      </c>
      <c r="O213" s="440">
        <v>0</v>
      </c>
      <c r="P213" s="440">
        <v>0</v>
      </c>
      <c r="Q213" s="440">
        <v>1633.86</v>
      </c>
      <c r="R213" s="440">
        <v>234.03913</v>
      </c>
      <c r="S213" s="440">
        <v>0</v>
      </c>
      <c r="T213" s="440">
        <v>1867.8991299999998</v>
      </c>
      <c r="U213" s="440">
        <v>0</v>
      </c>
      <c r="V213" s="440">
        <v>0</v>
      </c>
      <c r="W213" s="440">
        <v>234.03913</v>
      </c>
      <c r="X213" s="440">
        <v>8.4600000000000009</v>
      </c>
      <c r="Y213" s="440">
        <v>0</v>
      </c>
      <c r="Z213" s="440">
        <v>1625.3999999999999</v>
      </c>
      <c r="AA213" s="440">
        <v>0</v>
      </c>
      <c r="AB213" s="440">
        <v>0</v>
      </c>
      <c r="AC213" s="440">
        <v>0</v>
      </c>
      <c r="AD213" s="440">
        <v>0</v>
      </c>
      <c r="AE213" s="440">
        <v>0</v>
      </c>
      <c r="AF213" s="440">
        <v>1867.8991299999998</v>
      </c>
    </row>
    <row r="214" spans="1:32">
      <c r="A214" s="346" t="s">
        <v>1777</v>
      </c>
      <c r="B214" s="346">
        <v>206</v>
      </c>
      <c r="C214" s="346"/>
      <c r="D214" s="346"/>
      <c r="E214" s="346"/>
      <c r="F214" s="346"/>
      <c r="G214" s="346" t="s">
        <v>1972</v>
      </c>
      <c r="H214" s="346" t="s">
        <v>1849</v>
      </c>
      <c r="I214" s="346" t="s">
        <v>1849</v>
      </c>
      <c r="J214" s="346" t="s">
        <v>1857</v>
      </c>
      <c r="K214" s="346" t="s">
        <v>1852</v>
      </c>
      <c r="L214" s="346" t="s">
        <v>1859</v>
      </c>
      <c r="M214" s="346" t="s">
        <v>1902</v>
      </c>
      <c r="N214" s="440">
        <v>0</v>
      </c>
      <c r="O214" s="440">
        <v>50</v>
      </c>
      <c r="P214" s="440">
        <v>50</v>
      </c>
      <c r="Q214" s="440">
        <v>2673.5</v>
      </c>
      <c r="R214" s="440">
        <v>0</v>
      </c>
      <c r="S214" s="440">
        <v>0</v>
      </c>
      <c r="T214" s="440">
        <v>2673.5</v>
      </c>
      <c r="U214" s="440">
        <v>0</v>
      </c>
      <c r="V214" s="440">
        <v>0</v>
      </c>
      <c r="W214" s="440">
        <v>0</v>
      </c>
      <c r="X214" s="440">
        <v>98.13</v>
      </c>
      <c r="Y214" s="440">
        <v>0</v>
      </c>
      <c r="Z214" s="440">
        <v>12765.900000000001</v>
      </c>
      <c r="AA214" s="440">
        <v>0</v>
      </c>
      <c r="AB214" s="440">
        <v>0</v>
      </c>
      <c r="AC214" s="440">
        <v>0</v>
      </c>
      <c r="AD214" s="440">
        <v>0</v>
      </c>
      <c r="AE214" s="440">
        <v>0</v>
      </c>
      <c r="AF214" s="440">
        <v>12864.03</v>
      </c>
    </row>
    <row r="215" spans="1:32">
      <c r="A215" s="346" t="s">
        <v>1777</v>
      </c>
      <c r="B215" s="346">
        <v>207</v>
      </c>
      <c r="C215" s="346"/>
      <c r="D215" s="346"/>
      <c r="E215" s="346"/>
      <c r="F215" s="346"/>
      <c r="G215" s="346" t="s">
        <v>1972</v>
      </c>
      <c r="H215" s="346" t="s">
        <v>1906</v>
      </c>
      <c r="I215" s="346" t="s">
        <v>1907</v>
      </c>
      <c r="J215" s="346" t="s">
        <v>1857</v>
      </c>
      <c r="K215" s="346" t="s">
        <v>1852</v>
      </c>
      <c r="L215" s="346" t="s">
        <v>1908</v>
      </c>
      <c r="M215" s="346" t="s">
        <v>1909</v>
      </c>
      <c r="N215" s="440">
        <v>0</v>
      </c>
      <c r="O215" s="440">
        <v>2490</v>
      </c>
      <c r="P215" s="440">
        <v>2490</v>
      </c>
      <c r="Q215" s="440">
        <v>544.62</v>
      </c>
      <c r="R215" s="440">
        <v>1279.8069399999999</v>
      </c>
      <c r="S215" s="440">
        <v>0</v>
      </c>
      <c r="T215" s="440">
        <v>1824.4269399999998</v>
      </c>
      <c r="U215" s="440">
        <v>0</v>
      </c>
      <c r="V215" s="440">
        <v>0</v>
      </c>
      <c r="W215" s="440">
        <v>1279.8069399999999</v>
      </c>
      <c r="X215" s="440">
        <v>7.7099999999999991</v>
      </c>
      <c r="Y215" s="440">
        <v>0</v>
      </c>
      <c r="Z215" s="440">
        <v>1376.9199999999998</v>
      </c>
      <c r="AA215" s="440">
        <v>0</v>
      </c>
      <c r="AB215" s="440">
        <v>0</v>
      </c>
      <c r="AC215" s="440">
        <v>0</v>
      </c>
      <c r="AD215" s="440">
        <v>0</v>
      </c>
      <c r="AE215" s="440">
        <v>0</v>
      </c>
      <c r="AF215" s="440">
        <v>2664.4369399999996</v>
      </c>
    </row>
    <row r="216" spans="1:32">
      <c r="A216" s="346" t="s">
        <v>1777</v>
      </c>
      <c r="B216" s="346">
        <v>208</v>
      </c>
      <c r="C216" s="346"/>
      <c r="D216" s="346"/>
      <c r="E216" s="346"/>
      <c r="F216" s="346"/>
      <c r="G216" s="346" t="s">
        <v>1972</v>
      </c>
      <c r="H216" s="346" t="s">
        <v>1849</v>
      </c>
      <c r="I216" s="346" t="s">
        <v>1861</v>
      </c>
      <c r="J216" s="346" t="s">
        <v>1857</v>
      </c>
      <c r="K216" s="346" t="s">
        <v>1852</v>
      </c>
      <c r="L216" s="346" t="s">
        <v>1859</v>
      </c>
      <c r="M216" s="346" t="s">
        <v>1864</v>
      </c>
      <c r="N216" s="440">
        <v>0</v>
      </c>
      <c r="O216" s="440">
        <v>130</v>
      </c>
      <c r="P216" s="440">
        <v>130</v>
      </c>
      <c r="Q216" s="440">
        <v>10190.530000000002</v>
      </c>
      <c r="R216" s="440">
        <v>37.86</v>
      </c>
      <c r="S216" s="440">
        <v>0</v>
      </c>
      <c r="T216" s="440">
        <v>10228.390000000003</v>
      </c>
      <c r="U216" s="440">
        <v>0</v>
      </c>
      <c r="V216" s="440">
        <v>0</v>
      </c>
      <c r="W216" s="440">
        <v>37.86</v>
      </c>
      <c r="X216" s="440">
        <v>0</v>
      </c>
      <c r="Y216" s="440">
        <v>0</v>
      </c>
      <c r="Z216" s="440">
        <v>0</v>
      </c>
      <c r="AA216" s="440">
        <v>0</v>
      </c>
      <c r="AB216" s="440">
        <v>0</v>
      </c>
      <c r="AC216" s="440">
        <v>0</v>
      </c>
      <c r="AD216" s="440">
        <v>0</v>
      </c>
      <c r="AE216" s="440">
        <v>0</v>
      </c>
      <c r="AF216" s="440">
        <v>37.86</v>
      </c>
    </row>
    <row r="217" spans="1:32">
      <c r="A217" s="346" t="s">
        <v>1777</v>
      </c>
      <c r="B217" s="346">
        <v>209</v>
      </c>
      <c r="C217" s="346"/>
      <c r="D217" s="346"/>
      <c r="E217" s="346"/>
      <c r="F217" s="346"/>
      <c r="G217" s="346" t="s">
        <v>1972</v>
      </c>
      <c r="H217" s="346" t="s">
        <v>1865</v>
      </c>
      <c r="I217" s="346" t="s">
        <v>1861</v>
      </c>
      <c r="J217" s="346" t="s">
        <v>1857</v>
      </c>
      <c r="K217" s="346" t="s">
        <v>1852</v>
      </c>
      <c r="L217" s="346" t="s">
        <v>1866</v>
      </c>
      <c r="M217" s="346" t="s">
        <v>1864</v>
      </c>
      <c r="N217" s="440">
        <v>0</v>
      </c>
      <c r="O217" s="440">
        <v>412</v>
      </c>
      <c r="P217" s="440">
        <v>412</v>
      </c>
      <c r="Q217" s="440">
        <v>3739.72</v>
      </c>
      <c r="R217" s="440">
        <v>858.46</v>
      </c>
      <c r="S217" s="440">
        <v>0</v>
      </c>
      <c r="T217" s="440">
        <v>4598.18</v>
      </c>
      <c r="U217" s="440">
        <v>0</v>
      </c>
      <c r="V217" s="440">
        <v>0</v>
      </c>
      <c r="W217" s="440">
        <v>858.46</v>
      </c>
      <c r="X217" s="440">
        <v>0</v>
      </c>
      <c r="Y217" s="440">
        <v>0</v>
      </c>
      <c r="Z217" s="440">
        <v>0</v>
      </c>
      <c r="AA217" s="440">
        <v>0</v>
      </c>
      <c r="AB217" s="440">
        <v>0</v>
      </c>
      <c r="AC217" s="440">
        <v>0</v>
      </c>
      <c r="AD217" s="440">
        <v>0</v>
      </c>
      <c r="AE217" s="440">
        <v>0</v>
      </c>
      <c r="AF217" s="440">
        <v>858.46</v>
      </c>
    </row>
    <row r="218" spans="1:32">
      <c r="A218" s="346" t="s">
        <v>1777</v>
      </c>
      <c r="B218" s="346">
        <v>210</v>
      </c>
      <c r="C218" s="346"/>
      <c r="D218" s="346"/>
      <c r="E218" s="346"/>
      <c r="F218" s="346"/>
      <c r="G218" s="346" t="s">
        <v>1973</v>
      </c>
      <c r="H218" s="346" t="s">
        <v>1861</v>
      </c>
      <c r="I218" s="346" t="s">
        <v>1865</v>
      </c>
      <c r="J218" s="346" t="s">
        <v>1857</v>
      </c>
      <c r="K218" s="346" t="s">
        <v>1852</v>
      </c>
      <c r="L218" s="346" t="s">
        <v>1864</v>
      </c>
      <c r="M218" s="346" t="s">
        <v>1877</v>
      </c>
      <c r="N218" s="440">
        <v>0</v>
      </c>
      <c r="O218" s="440">
        <v>0</v>
      </c>
      <c r="P218" s="440">
        <v>0</v>
      </c>
      <c r="Q218" s="440">
        <v>0</v>
      </c>
      <c r="R218" s="440">
        <v>0</v>
      </c>
      <c r="S218" s="440">
        <v>0</v>
      </c>
      <c r="T218" s="440">
        <v>0</v>
      </c>
      <c r="U218" s="440">
        <v>0</v>
      </c>
      <c r="V218" s="440">
        <v>0</v>
      </c>
      <c r="W218" s="440">
        <v>0</v>
      </c>
      <c r="X218" s="440">
        <v>0</v>
      </c>
      <c r="Y218" s="440">
        <v>0</v>
      </c>
      <c r="Z218" s="440">
        <v>0</v>
      </c>
      <c r="AA218" s="440">
        <v>0</v>
      </c>
      <c r="AB218" s="440">
        <v>0</v>
      </c>
      <c r="AC218" s="440">
        <v>0</v>
      </c>
      <c r="AD218" s="440">
        <v>0</v>
      </c>
      <c r="AE218" s="440">
        <v>0</v>
      </c>
      <c r="AF218" s="440">
        <v>0</v>
      </c>
    </row>
    <row r="219" spans="1:32">
      <c r="A219" s="346" t="s">
        <v>1777</v>
      </c>
      <c r="B219" s="346">
        <v>211</v>
      </c>
      <c r="C219" s="346"/>
      <c r="D219" s="346"/>
      <c r="E219" s="346"/>
      <c r="F219" s="346"/>
      <c r="G219" s="346" t="s">
        <v>1973</v>
      </c>
      <c r="H219" s="346" t="s">
        <v>1849</v>
      </c>
      <c r="I219" s="346" t="s">
        <v>1856</v>
      </c>
      <c r="J219" s="346" t="s">
        <v>1857</v>
      </c>
      <c r="K219" s="346" t="s">
        <v>1852</v>
      </c>
      <c r="L219" s="346" t="s">
        <v>1889</v>
      </c>
      <c r="M219" s="346" t="s">
        <v>1858</v>
      </c>
      <c r="N219" s="440">
        <v>0</v>
      </c>
      <c r="O219" s="440">
        <v>0</v>
      </c>
      <c r="P219" s="440">
        <v>0</v>
      </c>
      <c r="Q219" s="440">
        <v>0</v>
      </c>
      <c r="R219" s="440">
        <v>0</v>
      </c>
      <c r="S219" s="440">
        <v>0</v>
      </c>
      <c r="T219" s="440">
        <v>0</v>
      </c>
      <c r="U219" s="440">
        <v>0</v>
      </c>
      <c r="V219" s="440">
        <v>0</v>
      </c>
      <c r="W219" s="440">
        <v>0</v>
      </c>
      <c r="X219" s="440">
        <v>0</v>
      </c>
      <c r="Y219" s="440">
        <v>0</v>
      </c>
      <c r="Z219" s="440">
        <v>0</v>
      </c>
      <c r="AA219" s="440">
        <v>0</v>
      </c>
      <c r="AB219" s="440">
        <v>0</v>
      </c>
      <c r="AC219" s="440">
        <v>0</v>
      </c>
      <c r="AD219" s="440">
        <v>0</v>
      </c>
      <c r="AE219" s="440">
        <v>0</v>
      </c>
      <c r="AF219" s="440">
        <v>0</v>
      </c>
    </row>
    <row r="220" spans="1:32">
      <c r="A220" s="346" t="s">
        <v>1777</v>
      </c>
      <c r="B220" s="346">
        <v>212</v>
      </c>
      <c r="C220" s="346"/>
      <c r="D220" s="346"/>
      <c r="E220" s="346"/>
      <c r="F220" s="346"/>
      <c r="G220" s="346" t="s">
        <v>1974</v>
      </c>
      <c r="H220" s="346" t="s">
        <v>1861</v>
      </c>
      <c r="I220" s="346" t="s">
        <v>1850</v>
      </c>
      <c r="J220" s="346" t="s">
        <v>1851</v>
      </c>
      <c r="K220" s="346" t="s">
        <v>1852</v>
      </c>
      <c r="L220" s="346" t="s">
        <v>1864</v>
      </c>
      <c r="M220" s="346" t="s">
        <v>1868</v>
      </c>
      <c r="N220" s="440">
        <v>0</v>
      </c>
      <c r="O220" s="440">
        <v>0</v>
      </c>
      <c r="P220" s="440">
        <v>0</v>
      </c>
      <c r="Q220" s="440">
        <v>8.08</v>
      </c>
      <c r="R220" s="440">
        <v>0</v>
      </c>
      <c r="S220" s="440">
        <v>0</v>
      </c>
      <c r="T220" s="440">
        <v>8.08</v>
      </c>
      <c r="U220" s="440">
        <v>0</v>
      </c>
      <c r="V220" s="440">
        <v>0</v>
      </c>
      <c r="W220" s="440">
        <v>0</v>
      </c>
      <c r="X220" s="440">
        <v>0.05</v>
      </c>
      <c r="Y220" s="440">
        <v>0</v>
      </c>
      <c r="Z220" s="440">
        <v>0</v>
      </c>
      <c r="AA220" s="440">
        <v>8.0299999999999994</v>
      </c>
      <c r="AB220" s="440">
        <v>0</v>
      </c>
      <c r="AC220" s="440">
        <v>0</v>
      </c>
      <c r="AD220" s="440">
        <v>0</v>
      </c>
      <c r="AE220" s="440">
        <v>0</v>
      </c>
      <c r="AF220" s="440">
        <v>8.08</v>
      </c>
    </row>
    <row r="221" spans="1:32">
      <c r="A221" s="346" t="s">
        <v>1777</v>
      </c>
      <c r="B221" s="346">
        <v>213</v>
      </c>
      <c r="C221" s="346"/>
      <c r="D221" s="346"/>
      <c r="E221" s="346"/>
      <c r="F221" s="346"/>
      <c r="G221" s="346" t="s">
        <v>1974</v>
      </c>
      <c r="H221" s="346" t="s">
        <v>1850</v>
      </c>
      <c r="I221" s="346" t="s">
        <v>1861</v>
      </c>
      <c r="J221" s="346" t="s">
        <v>1851</v>
      </c>
      <c r="K221" s="346" t="s">
        <v>1852</v>
      </c>
      <c r="L221" s="346" t="s">
        <v>1868</v>
      </c>
      <c r="M221" s="346" t="s">
        <v>1864</v>
      </c>
      <c r="N221" s="440">
        <v>0</v>
      </c>
      <c r="O221" s="440">
        <v>2454</v>
      </c>
      <c r="P221" s="440">
        <v>2454</v>
      </c>
      <c r="Q221" s="440">
        <v>24109.86</v>
      </c>
      <c r="R221" s="440">
        <v>0</v>
      </c>
      <c r="S221" s="440">
        <v>0</v>
      </c>
      <c r="T221" s="440">
        <v>24109.86</v>
      </c>
      <c r="U221" s="440">
        <v>0</v>
      </c>
      <c r="V221" s="440">
        <v>0</v>
      </c>
      <c r="W221" s="440">
        <v>0</v>
      </c>
      <c r="X221" s="440">
        <v>140.31</v>
      </c>
      <c r="Y221" s="440">
        <v>0</v>
      </c>
      <c r="Z221" s="440">
        <v>0</v>
      </c>
      <c r="AA221" s="440">
        <v>23969.55</v>
      </c>
      <c r="AB221" s="440">
        <v>0</v>
      </c>
      <c r="AC221" s="440">
        <v>0</v>
      </c>
      <c r="AD221" s="440">
        <v>0</v>
      </c>
      <c r="AE221" s="440">
        <v>0</v>
      </c>
      <c r="AF221" s="440">
        <v>24109.86</v>
      </c>
    </row>
    <row r="222" spans="1:32">
      <c r="A222" s="346" t="s">
        <v>1777</v>
      </c>
      <c r="B222" s="346">
        <v>214</v>
      </c>
      <c r="C222" s="346"/>
      <c r="D222" s="346"/>
      <c r="E222" s="346"/>
      <c r="F222" s="346"/>
      <c r="G222" s="346" t="s">
        <v>1974</v>
      </c>
      <c r="H222" s="346" t="s">
        <v>1850</v>
      </c>
      <c r="I222" s="346" t="s">
        <v>1856</v>
      </c>
      <c r="J222" s="346" t="s">
        <v>1851</v>
      </c>
      <c r="K222" s="346" t="s">
        <v>1852</v>
      </c>
      <c r="L222" s="346" t="s">
        <v>1868</v>
      </c>
      <c r="M222" s="346" t="s">
        <v>1858</v>
      </c>
      <c r="N222" s="440">
        <v>0</v>
      </c>
      <c r="O222" s="440">
        <v>8548</v>
      </c>
      <c r="P222" s="440">
        <v>8548</v>
      </c>
      <c r="Q222" s="440">
        <v>60585.58</v>
      </c>
      <c r="R222" s="440">
        <v>11026.422729999998</v>
      </c>
      <c r="S222" s="440">
        <v>0</v>
      </c>
      <c r="T222" s="440">
        <v>71612.002730000007</v>
      </c>
      <c r="U222" s="440">
        <v>0</v>
      </c>
      <c r="V222" s="440">
        <v>0</v>
      </c>
      <c r="W222" s="440">
        <v>11026.422729999998</v>
      </c>
      <c r="X222" s="440">
        <v>352.55</v>
      </c>
      <c r="Y222" s="440">
        <v>0</v>
      </c>
      <c r="Z222" s="440">
        <v>0</v>
      </c>
      <c r="AA222" s="440">
        <v>60233.03</v>
      </c>
      <c r="AB222" s="440">
        <v>0</v>
      </c>
      <c r="AC222" s="440">
        <v>0</v>
      </c>
      <c r="AD222" s="440">
        <v>0</v>
      </c>
      <c r="AE222" s="440">
        <v>0</v>
      </c>
      <c r="AF222" s="440">
        <v>71612.002729999993</v>
      </c>
    </row>
    <row r="223" spans="1:32">
      <c r="A223" s="346" t="s">
        <v>1777</v>
      </c>
      <c r="B223" s="346">
        <v>215</v>
      </c>
      <c r="C223" s="346"/>
      <c r="D223" s="346"/>
      <c r="E223" s="346"/>
      <c r="F223" s="346"/>
      <c r="G223" s="346" t="s">
        <v>1974</v>
      </c>
      <c r="H223" s="346" t="s">
        <v>1856</v>
      </c>
      <c r="I223" s="346" t="s">
        <v>1850</v>
      </c>
      <c r="J223" s="346" t="s">
        <v>1851</v>
      </c>
      <c r="K223" s="346" t="s">
        <v>1852</v>
      </c>
      <c r="L223" s="346" t="s">
        <v>1858</v>
      </c>
      <c r="M223" s="346" t="s">
        <v>1868</v>
      </c>
      <c r="N223" s="440">
        <v>0</v>
      </c>
      <c r="O223" s="440">
        <v>0</v>
      </c>
      <c r="P223" s="440">
        <v>0</v>
      </c>
      <c r="Q223" s="440">
        <v>80.77</v>
      </c>
      <c r="R223" s="440">
        <v>-13.70825</v>
      </c>
      <c r="S223" s="440">
        <v>0</v>
      </c>
      <c r="T223" s="440">
        <v>67.061749999999989</v>
      </c>
      <c r="U223" s="440">
        <v>0</v>
      </c>
      <c r="V223" s="440">
        <v>0</v>
      </c>
      <c r="W223" s="440">
        <v>-13.70825</v>
      </c>
      <c r="X223" s="440">
        <v>0.47</v>
      </c>
      <c r="Y223" s="440">
        <v>0</v>
      </c>
      <c r="Z223" s="440">
        <v>0</v>
      </c>
      <c r="AA223" s="440">
        <v>80.3</v>
      </c>
      <c r="AB223" s="440">
        <v>0</v>
      </c>
      <c r="AC223" s="440">
        <v>0</v>
      </c>
      <c r="AD223" s="440">
        <v>0</v>
      </c>
      <c r="AE223" s="440">
        <v>0</v>
      </c>
      <c r="AF223" s="440">
        <v>67.061750000000004</v>
      </c>
    </row>
    <row r="224" spans="1:32">
      <c r="A224" s="346" t="s">
        <v>1777</v>
      </c>
      <c r="B224" s="346">
        <v>216</v>
      </c>
      <c r="C224" s="346"/>
      <c r="D224" s="346"/>
      <c r="E224" s="346"/>
      <c r="F224" s="346"/>
      <c r="G224" s="346" t="s">
        <v>1974</v>
      </c>
      <c r="H224" s="346" t="s">
        <v>1861</v>
      </c>
      <c r="I224" s="346" t="s">
        <v>1849</v>
      </c>
      <c r="J224" s="346" t="s">
        <v>1851</v>
      </c>
      <c r="K224" s="346" t="s">
        <v>1852</v>
      </c>
      <c r="L224" s="346" t="s">
        <v>1864</v>
      </c>
      <c r="M224" s="346" t="s">
        <v>1889</v>
      </c>
      <c r="N224" s="440">
        <v>0</v>
      </c>
      <c r="O224" s="440">
        <v>0</v>
      </c>
      <c r="P224" s="440">
        <v>0</v>
      </c>
      <c r="Q224" s="440">
        <v>9.08</v>
      </c>
      <c r="R224" s="440">
        <v>0</v>
      </c>
      <c r="S224" s="440">
        <v>0</v>
      </c>
      <c r="T224" s="440">
        <v>9.08</v>
      </c>
      <c r="U224" s="440">
        <v>0</v>
      </c>
      <c r="V224" s="440">
        <v>0</v>
      </c>
      <c r="W224" s="440">
        <v>0</v>
      </c>
      <c r="X224" s="440">
        <v>0.05</v>
      </c>
      <c r="Y224" s="440">
        <v>0</v>
      </c>
      <c r="Z224" s="440">
        <v>0</v>
      </c>
      <c r="AA224" s="440">
        <v>9.0299999999999994</v>
      </c>
      <c r="AB224" s="440">
        <v>0</v>
      </c>
      <c r="AC224" s="440">
        <v>0</v>
      </c>
      <c r="AD224" s="440">
        <v>0</v>
      </c>
      <c r="AE224" s="440">
        <v>0</v>
      </c>
      <c r="AF224" s="440">
        <v>9.08</v>
      </c>
    </row>
    <row r="225" spans="1:32">
      <c r="A225" s="346" t="s">
        <v>1777</v>
      </c>
      <c r="B225" s="346">
        <v>217</v>
      </c>
      <c r="C225" s="346"/>
      <c r="D225" s="346"/>
      <c r="E225" s="346"/>
      <c r="F225" s="346"/>
      <c r="G225" s="346" t="s">
        <v>1974</v>
      </c>
      <c r="H225" s="346" t="s">
        <v>1907</v>
      </c>
      <c r="I225" s="346" t="s">
        <v>1861</v>
      </c>
      <c r="J225" s="346" t="s">
        <v>1851</v>
      </c>
      <c r="K225" s="346" t="s">
        <v>1852</v>
      </c>
      <c r="L225" s="346" t="s">
        <v>1909</v>
      </c>
      <c r="M225" s="346" t="s">
        <v>1913</v>
      </c>
      <c r="N225" s="440">
        <v>0</v>
      </c>
      <c r="O225" s="440">
        <v>0</v>
      </c>
      <c r="P225" s="440">
        <v>0</v>
      </c>
      <c r="Q225" s="440">
        <v>9.08</v>
      </c>
      <c r="R225" s="440">
        <v>0</v>
      </c>
      <c r="S225" s="440">
        <v>0</v>
      </c>
      <c r="T225" s="440">
        <v>9.08</v>
      </c>
      <c r="U225" s="440">
        <v>0</v>
      </c>
      <c r="V225" s="440">
        <v>0</v>
      </c>
      <c r="W225" s="440">
        <v>0</v>
      </c>
      <c r="X225" s="440">
        <v>0.05</v>
      </c>
      <c r="Y225" s="440">
        <v>0</v>
      </c>
      <c r="Z225" s="440">
        <v>0</v>
      </c>
      <c r="AA225" s="440">
        <v>9.0299999999999994</v>
      </c>
      <c r="AB225" s="440">
        <v>0</v>
      </c>
      <c r="AC225" s="440">
        <v>0</v>
      </c>
      <c r="AD225" s="440">
        <v>0</v>
      </c>
      <c r="AE225" s="440">
        <v>0</v>
      </c>
      <c r="AF225" s="440">
        <v>9.08</v>
      </c>
    </row>
    <row r="226" spans="1:32">
      <c r="A226" s="346" t="s">
        <v>1777</v>
      </c>
      <c r="B226" s="346">
        <v>218</v>
      </c>
      <c r="C226" s="346"/>
      <c r="D226" s="346"/>
      <c r="E226" s="346"/>
      <c r="F226" s="346"/>
      <c r="G226" s="346" t="s">
        <v>1974</v>
      </c>
      <c r="H226" s="346" t="s">
        <v>1906</v>
      </c>
      <c r="I226" s="346" t="s">
        <v>1907</v>
      </c>
      <c r="J226" s="346" t="s">
        <v>1851</v>
      </c>
      <c r="K226" s="346" t="s">
        <v>1852</v>
      </c>
      <c r="L226" s="346" t="s">
        <v>1908</v>
      </c>
      <c r="M226" s="346" t="s">
        <v>1909</v>
      </c>
      <c r="N226" s="440">
        <v>0</v>
      </c>
      <c r="O226" s="440">
        <v>0</v>
      </c>
      <c r="P226" s="440">
        <v>0</v>
      </c>
      <c r="Q226" s="440">
        <v>9.08</v>
      </c>
      <c r="R226" s="440">
        <v>0</v>
      </c>
      <c r="S226" s="440">
        <v>0</v>
      </c>
      <c r="T226" s="440">
        <v>9.08</v>
      </c>
      <c r="U226" s="440">
        <v>0</v>
      </c>
      <c r="V226" s="440">
        <v>0</v>
      </c>
      <c r="W226" s="440">
        <v>0</v>
      </c>
      <c r="X226" s="440">
        <v>0.05</v>
      </c>
      <c r="Y226" s="440">
        <v>0</v>
      </c>
      <c r="Z226" s="440">
        <v>0</v>
      </c>
      <c r="AA226" s="440">
        <v>9.0299999999999994</v>
      </c>
      <c r="AB226" s="440">
        <v>0</v>
      </c>
      <c r="AC226" s="440">
        <v>0</v>
      </c>
      <c r="AD226" s="440">
        <v>0</v>
      </c>
      <c r="AE226" s="440">
        <v>0</v>
      </c>
      <c r="AF226" s="440">
        <v>9.08</v>
      </c>
    </row>
    <row r="227" spans="1:32">
      <c r="A227" s="346" t="s">
        <v>1777</v>
      </c>
      <c r="B227" s="346">
        <v>219</v>
      </c>
      <c r="C227" s="346"/>
      <c r="D227" s="346"/>
      <c r="E227" s="346"/>
      <c r="F227" s="346"/>
      <c r="G227" s="346" t="s">
        <v>1975</v>
      </c>
      <c r="H227" s="346" t="s">
        <v>1850</v>
      </c>
      <c r="I227" s="346" t="s">
        <v>1850</v>
      </c>
      <c r="J227" s="346" t="s">
        <v>1857</v>
      </c>
      <c r="K227" s="346" t="s">
        <v>1852</v>
      </c>
      <c r="L227" s="346" t="s">
        <v>1868</v>
      </c>
      <c r="M227" s="346" t="s">
        <v>1868</v>
      </c>
      <c r="N227" s="440">
        <v>0</v>
      </c>
      <c r="O227" s="440">
        <v>7532</v>
      </c>
      <c r="P227" s="440">
        <v>7532</v>
      </c>
      <c r="Q227" s="440">
        <v>97462.66</v>
      </c>
      <c r="R227" s="440">
        <v>6692.48</v>
      </c>
      <c r="S227" s="440">
        <v>0</v>
      </c>
      <c r="T227" s="440">
        <v>104155.14</v>
      </c>
      <c r="U227" s="440">
        <v>0</v>
      </c>
      <c r="V227" s="440">
        <v>0</v>
      </c>
      <c r="W227" s="440">
        <v>6692.48</v>
      </c>
      <c r="X227" s="440">
        <v>702.76</v>
      </c>
      <c r="Y227" s="440">
        <v>0</v>
      </c>
      <c r="Z227" s="440">
        <v>96759.9</v>
      </c>
      <c r="AA227" s="440">
        <v>0</v>
      </c>
      <c r="AB227" s="440">
        <v>0</v>
      </c>
      <c r="AC227" s="440">
        <v>0</v>
      </c>
      <c r="AD227" s="440">
        <v>0</v>
      </c>
      <c r="AE227" s="440">
        <v>0</v>
      </c>
      <c r="AF227" s="440">
        <v>104155.14</v>
      </c>
    </row>
    <row r="228" spans="1:32">
      <c r="A228" s="346" t="s">
        <v>1777</v>
      </c>
      <c r="B228" s="346">
        <v>220</v>
      </c>
      <c r="C228" s="346"/>
      <c r="D228" s="346"/>
      <c r="E228" s="346"/>
      <c r="F228" s="346"/>
      <c r="G228" s="346" t="s">
        <v>1975</v>
      </c>
      <c r="H228" s="346" t="s">
        <v>1861</v>
      </c>
      <c r="I228" s="346" t="s">
        <v>1865</v>
      </c>
      <c r="J228" s="346" t="s">
        <v>1857</v>
      </c>
      <c r="K228" s="346" t="s">
        <v>1852</v>
      </c>
      <c r="L228" s="346" t="s">
        <v>1864</v>
      </c>
      <c r="M228" s="346" t="s">
        <v>1877</v>
      </c>
      <c r="N228" s="440">
        <v>0</v>
      </c>
      <c r="O228" s="440">
        <v>50</v>
      </c>
      <c r="P228" s="440">
        <v>50</v>
      </c>
      <c r="Q228" s="440">
        <v>9.08</v>
      </c>
      <c r="R228" s="440">
        <v>0</v>
      </c>
      <c r="S228" s="440">
        <v>0</v>
      </c>
      <c r="T228" s="440">
        <v>9.08</v>
      </c>
      <c r="U228" s="440">
        <v>0</v>
      </c>
      <c r="V228" s="440">
        <v>0</v>
      </c>
      <c r="W228" s="440">
        <v>0</v>
      </c>
      <c r="X228" s="440">
        <v>0.05</v>
      </c>
      <c r="Y228" s="440">
        <v>0</v>
      </c>
      <c r="Z228" s="440">
        <v>9.0299999999999994</v>
      </c>
      <c r="AA228" s="440">
        <v>0</v>
      </c>
      <c r="AB228" s="440">
        <v>0</v>
      </c>
      <c r="AC228" s="440">
        <v>0</v>
      </c>
      <c r="AD228" s="440">
        <v>0</v>
      </c>
      <c r="AE228" s="440">
        <v>0</v>
      </c>
      <c r="AF228" s="440">
        <v>9.08</v>
      </c>
    </row>
    <row r="229" spans="1:32">
      <c r="A229" s="346" t="s">
        <v>1777</v>
      </c>
      <c r="B229" s="346">
        <v>221</v>
      </c>
      <c r="C229" s="346"/>
      <c r="D229" s="346"/>
      <c r="E229" s="346"/>
      <c r="F229" s="346"/>
      <c r="G229" s="346" t="s">
        <v>1975</v>
      </c>
      <c r="H229" s="346" t="s">
        <v>1849</v>
      </c>
      <c r="I229" s="346" t="s">
        <v>1856</v>
      </c>
      <c r="J229" s="346" t="s">
        <v>1857</v>
      </c>
      <c r="K229" s="346" t="s">
        <v>1852</v>
      </c>
      <c r="L229" s="346" t="s">
        <v>1889</v>
      </c>
      <c r="M229" s="346" t="s">
        <v>1858</v>
      </c>
      <c r="N229" s="440">
        <v>0</v>
      </c>
      <c r="O229" s="440">
        <v>0</v>
      </c>
      <c r="P229" s="440">
        <v>0</v>
      </c>
      <c r="Q229" s="440">
        <v>9.08</v>
      </c>
      <c r="R229" s="440">
        <v>0</v>
      </c>
      <c r="S229" s="440">
        <v>0</v>
      </c>
      <c r="T229" s="440">
        <v>9.08</v>
      </c>
      <c r="U229" s="440">
        <v>0</v>
      </c>
      <c r="V229" s="440">
        <v>0</v>
      </c>
      <c r="W229" s="440">
        <v>0</v>
      </c>
      <c r="X229" s="440">
        <v>0.05</v>
      </c>
      <c r="Y229" s="440">
        <v>0</v>
      </c>
      <c r="Z229" s="440">
        <v>9.0299999999999994</v>
      </c>
      <c r="AA229" s="440">
        <v>0</v>
      </c>
      <c r="AB229" s="440">
        <v>0</v>
      </c>
      <c r="AC229" s="440">
        <v>0</v>
      </c>
      <c r="AD229" s="440">
        <v>0</v>
      </c>
      <c r="AE229" s="440">
        <v>0</v>
      </c>
      <c r="AF229" s="440">
        <v>9.08</v>
      </c>
    </row>
    <row r="230" spans="1:32">
      <c r="A230" s="346" t="s">
        <v>1777</v>
      </c>
      <c r="B230" s="346">
        <v>222</v>
      </c>
      <c r="C230" s="346"/>
      <c r="D230" s="346"/>
      <c r="E230" s="346"/>
      <c r="F230" s="346"/>
      <c r="G230" s="346" t="s">
        <v>1975</v>
      </c>
      <c r="H230" s="346" t="s">
        <v>1849</v>
      </c>
      <c r="I230" s="346" t="s">
        <v>1850</v>
      </c>
      <c r="J230" s="346" t="s">
        <v>1857</v>
      </c>
      <c r="K230" s="346" t="s">
        <v>1852</v>
      </c>
      <c r="L230" s="346" t="s">
        <v>1853</v>
      </c>
      <c r="M230" s="346" t="s">
        <v>1854</v>
      </c>
      <c r="N230" s="440">
        <v>0</v>
      </c>
      <c r="O230" s="440">
        <v>0</v>
      </c>
      <c r="P230" s="440">
        <v>0</v>
      </c>
      <c r="Q230" s="440">
        <v>1543.09</v>
      </c>
      <c r="R230" s="440">
        <v>0</v>
      </c>
      <c r="S230" s="440">
        <v>0</v>
      </c>
      <c r="T230" s="440">
        <v>1543.09</v>
      </c>
      <c r="U230" s="440">
        <v>0</v>
      </c>
      <c r="V230" s="440">
        <v>0</v>
      </c>
      <c r="W230" s="440">
        <v>0</v>
      </c>
      <c r="X230" s="440">
        <v>7.99</v>
      </c>
      <c r="Y230" s="440">
        <v>0</v>
      </c>
      <c r="Z230" s="440">
        <v>1535.1</v>
      </c>
      <c r="AA230" s="440">
        <v>0</v>
      </c>
      <c r="AB230" s="440">
        <v>0</v>
      </c>
      <c r="AC230" s="440">
        <v>0</v>
      </c>
      <c r="AD230" s="440">
        <v>0</v>
      </c>
      <c r="AE230" s="440">
        <v>0</v>
      </c>
      <c r="AF230" s="440">
        <v>1543.09</v>
      </c>
    </row>
    <row r="231" spans="1:32">
      <c r="A231" s="346" t="s">
        <v>1777</v>
      </c>
      <c r="B231" s="346">
        <v>223</v>
      </c>
      <c r="C231" s="346"/>
      <c r="D231" s="346"/>
      <c r="E231" s="346"/>
      <c r="F231" s="346"/>
      <c r="G231" s="346" t="s">
        <v>1975</v>
      </c>
      <c r="H231" s="346" t="s">
        <v>1906</v>
      </c>
      <c r="I231" s="346" t="s">
        <v>1907</v>
      </c>
      <c r="J231" s="346" t="s">
        <v>1857</v>
      </c>
      <c r="K231" s="346" t="s">
        <v>1852</v>
      </c>
      <c r="L231" s="346" t="s">
        <v>1908</v>
      </c>
      <c r="M231" s="346" t="s">
        <v>1909</v>
      </c>
      <c r="N231" s="440">
        <v>0</v>
      </c>
      <c r="O231" s="440">
        <v>3370</v>
      </c>
      <c r="P231" s="440">
        <v>3370</v>
      </c>
      <c r="Q231" s="440">
        <v>907.69999999999993</v>
      </c>
      <c r="R231" s="440">
        <v>0</v>
      </c>
      <c r="S231" s="440">
        <v>0</v>
      </c>
      <c r="T231" s="440">
        <v>907.69999999999993</v>
      </c>
      <c r="U231" s="440">
        <v>0</v>
      </c>
      <c r="V231" s="440">
        <v>0</v>
      </c>
      <c r="W231" s="440">
        <v>0</v>
      </c>
      <c r="X231" s="440">
        <v>4.7</v>
      </c>
      <c r="Y231" s="440">
        <v>0</v>
      </c>
      <c r="Z231" s="440">
        <v>902.99999999999989</v>
      </c>
      <c r="AA231" s="440">
        <v>0</v>
      </c>
      <c r="AB231" s="440">
        <v>0</v>
      </c>
      <c r="AC231" s="440">
        <v>0</v>
      </c>
      <c r="AD231" s="440">
        <v>0</v>
      </c>
      <c r="AE231" s="440">
        <v>0</v>
      </c>
      <c r="AF231" s="440">
        <v>907.69999999999993</v>
      </c>
    </row>
    <row r="232" spans="1:32">
      <c r="A232" s="346" t="s">
        <v>1777</v>
      </c>
      <c r="B232" s="346">
        <v>224</v>
      </c>
      <c r="C232" s="346"/>
      <c r="D232" s="346"/>
      <c r="E232" s="346"/>
      <c r="F232" s="346"/>
      <c r="G232" s="346" t="s">
        <v>1976</v>
      </c>
      <c r="H232" s="346" t="s">
        <v>1850</v>
      </c>
      <c r="I232" s="346" t="s">
        <v>1861</v>
      </c>
      <c r="J232" s="346" t="s">
        <v>1851</v>
      </c>
      <c r="K232" s="346" t="s">
        <v>1852</v>
      </c>
      <c r="L232" s="346" t="s">
        <v>1868</v>
      </c>
      <c r="M232" s="346" t="s">
        <v>1864</v>
      </c>
      <c r="N232" s="440">
        <v>0</v>
      </c>
      <c r="O232" s="440">
        <v>127</v>
      </c>
      <c r="P232" s="440">
        <v>127</v>
      </c>
      <c r="Q232" s="440">
        <v>8464.7000000000007</v>
      </c>
      <c r="R232" s="440">
        <v>407.31434000000013</v>
      </c>
      <c r="S232" s="440">
        <v>0</v>
      </c>
      <c r="T232" s="440">
        <v>8872.0143400000015</v>
      </c>
      <c r="U232" s="440">
        <v>0</v>
      </c>
      <c r="V232" s="440">
        <v>0</v>
      </c>
      <c r="W232" s="440">
        <v>407.31434000000013</v>
      </c>
      <c r="X232" s="440">
        <v>49.260000000000005</v>
      </c>
      <c r="Y232" s="440">
        <v>0</v>
      </c>
      <c r="Z232" s="440">
        <v>0</v>
      </c>
      <c r="AA232" s="440">
        <v>8415.4399999999987</v>
      </c>
      <c r="AB232" s="440">
        <v>0</v>
      </c>
      <c r="AC232" s="440">
        <v>0</v>
      </c>
      <c r="AD232" s="440">
        <v>0</v>
      </c>
      <c r="AE232" s="440">
        <v>0</v>
      </c>
      <c r="AF232" s="440">
        <v>8872.0143399999979</v>
      </c>
    </row>
    <row r="233" spans="1:32">
      <c r="A233" s="346" t="s">
        <v>1777</v>
      </c>
      <c r="B233" s="346">
        <v>225</v>
      </c>
      <c r="C233" s="346"/>
      <c r="D233" s="346"/>
      <c r="E233" s="346"/>
      <c r="F233" s="346"/>
      <c r="G233" s="346" t="s">
        <v>1976</v>
      </c>
      <c r="H233" s="346" t="s">
        <v>1850</v>
      </c>
      <c r="I233" s="346" t="s">
        <v>1856</v>
      </c>
      <c r="J233" s="346" t="s">
        <v>1851</v>
      </c>
      <c r="K233" s="346" t="s">
        <v>1852</v>
      </c>
      <c r="L233" s="346" t="s">
        <v>1868</v>
      </c>
      <c r="M233" s="346" t="s">
        <v>1858</v>
      </c>
      <c r="N233" s="440">
        <v>0</v>
      </c>
      <c r="O233" s="440">
        <v>1336</v>
      </c>
      <c r="P233" s="440">
        <v>1336</v>
      </c>
      <c r="Q233" s="440">
        <v>4579.66</v>
      </c>
      <c r="R233" s="440">
        <v>1949.3948700000001</v>
      </c>
      <c r="S233" s="440">
        <v>0</v>
      </c>
      <c r="T233" s="440">
        <v>6529.0548699999999</v>
      </c>
      <c r="U233" s="440">
        <v>0</v>
      </c>
      <c r="V233" s="440">
        <v>0</v>
      </c>
      <c r="W233" s="440">
        <v>1949.3948700000001</v>
      </c>
      <c r="X233" s="440">
        <v>26.650000000000002</v>
      </c>
      <c r="Y233" s="440">
        <v>0</v>
      </c>
      <c r="Z233" s="440">
        <v>0</v>
      </c>
      <c r="AA233" s="440">
        <v>4553.0099999999993</v>
      </c>
      <c r="AB233" s="440">
        <v>0</v>
      </c>
      <c r="AC233" s="440">
        <v>0</v>
      </c>
      <c r="AD233" s="440">
        <v>0</v>
      </c>
      <c r="AE233" s="440">
        <v>0</v>
      </c>
      <c r="AF233" s="440">
        <v>6529.0548699999999</v>
      </c>
    </row>
    <row r="234" spans="1:32">
      <c r="A234" s="346" t="s">
        <v>1777</v>
      </c>
      <c r="B234" s="346">
        <v>226</v>
      </c>
      <c r="C234" s="346"/>
      <c r="D234" s="346"/>
      <c r="E234" s="346"/>
      <c r="F234" s="346"/>
      <c r="G234" s="346" t="s">
        <v>1976</v>
      </c>
      <c r="H234" s="346" t="s">
        <v>1861</v>
      </c>
      <c r="I234" s="346" t="s">
        <v>1850</v>
      </c>
      <c r="J234" s="346" t="s">
        <v>1851</v>
      </c>
      <c r="K234" s="346" t="s">
        <v>1852</v>
      </c>
      <c r="L234" s="346" t="s">
        <v>1864</v>
      </c>
      <c r="M234" s="346" t="s">
        <v>1868</v>
      </c>
      <c r="N234" s="440">
        <v>0</v>
      </c>
      <c r="O234" s="440">
        <v>139</v>
      </c>
      <c r="P234" s="440">
        <v>139</v>
      </c>
      <c r="Q234" s="440">
        <v>4288.8899999999994</v>
      </c>
      <c r="R234" s="440">
        <v>9.0911099999999898</v>
      </c>
      <c r="S234" s="440">
        <v>0</v>
      </c>
      <c r="T234" s="440">
        <v>4297.9811099999997</v>
      </c>
      <c r="U234" s="440">
        <v>0</v>
      </c>
      <c r="V234" s="440">
        <v>0</v>
      </c>
      <c r="W234" s="440">
        <v>9.0911099999999898</v>
      </c>
      <c r="X234" s="440">
        <v>24.96</v>
      </c>
      <c r="Y234" s="440">
        <v>0</v>
      </c>
      <c r="Z234" s="440">
        <v>0</v>
      </c>
      <c r="AA234" s="440">
        <v>4263.9299999999994</v>
      </c>
      <c r="AB234" s="440">
        <v>0</v>
      </c>
      <c r="AC234" s="440">
        <v>0</v>
      </c>
      <c r="AD234" s="440">
        <v>0</v>
      </c>
      <c r="AE234" s="440">
        <v>0</v>
      </c>
      <c r="AF234" s="440">
        <v>4297.9811099999997</v>
      </c>
    </row>
    <row r="235" spans="1:32">
      <c r="A235" s="346" t="s">
        <v>1777</v>
      </c>
      <c r="B235" s="346">
        <v>227</v>
      </c>
      <c r="C235" s="346"/>
      <c r="D235" s="346"/>
      <c r="E235" s="346"/>
      <c r="F235" s="346"/>
      <c r="G235" s="346" t="s">
        <v>1976</v>
      </c>
      <c r="H235" s="346" t="s">
        <v>1849</v>
      </c>
      <c r="I235" s="346" t="s">
        <v>1850</v>
      </c>
      <c r="J235" s="346" t="s">
        <v>1851</v>
      </c>
      <c r="K235" s="346" t="s">
        <v>1852</v>
      </c>
      <c r="L235" s="346" t="s">
        <v>1853</v>
      </c>
      <c r="M235" s="346" t="s">
        <v>1854</v>
      </c>
      <c r="N235" s="440">
        <v>0</v>
      </c>
      <c r="O235" s="440">
        <v>0</v>
      </c>
      <c r="P235" s="440">
        <v>0</v>
      </c>
      <c r="Q235" s="440">
        <v>3024.64</v>
      </c>
      <c r="R235" s="440">
        <v>0</v>
      </c>
      <c r="S235" s="440">
        <v>0</v>
      </c>
      <c r="T235" s="440">
        <v>3024.64</v>
      </c>
      <c r="U235" s="440">
        <v>0</v>
      </c>
      <c r="V235" s="440">
        <v>0</v>
      </c>
      <c r="W235" s="440">
        <v>0</v>
      </c>
      <c r="X235" s="440">
        <v>17.48</v>
      </c>
      <c r="Y235" s="440">
        <v>0</v>
      </c>
      <c r="Z235" s="440">
        <v>0</v>
      </c>
      <c r="AA235" s="440">
        <v>3007.16</v>
      </c>
      <c r="AB235" s="440">
        <v>0</v>
      </c>
      <c r="AC235" s="440">
        <v>0</v>
      </c>
      <c r="AD235" s="440">
        <v>0</v>
      </c>
      <c r="AE235" s="440">
        <v>0</v>
      </c>
      <c r="AF235" s="440">
        <v>3024.64</v>
      </c>
    </row>
    <row r="236" spans="1:32">
      <c r="A236" s="346" t="s">
        <v>1777</v>
      </c>
      <c r="B236" s="346">
        <v>228</v>
      </c>
      <c r="C236" s="346"/>
      <c r="D236" s="346"/>
      <c r="E236" s="346"/>
      <c r="F236" s="346"/>
      <c r="G236" s="346" t="s">
        <v>1976</v>
      </c>
      <c r="H236" s="346" t="s">
        <v>1856</v>
      </c>
      <c r="I236" s="346" t="s">
        <v>1850</v>
      </c>
      <c r="J236" s="346" t="s">
        <v>1851</v>
      </c>
      <c r="K236" s="346" t="s">
        <v>1852</v>
      </c>
      <c r="L236" s="346" t="s">
        <v>1858</v>
      </c>
      <c r="M236" s="346" t="s">
        <v>1868</v>
      </c>
      <c r="N236" s="440">
        <v>0</v>
      </c>
      <c r="O236" s="440">
        <v>70</v>
      </c>
      <c r="P236" s="440">
        <v>70</v>
      </c>
      <c r="Q236" s="440">
        <v>928.8599999999999</v>
      </c>
      <c r="R236" s="440">
        <v>46.229489999999998</v>
      </c>
      <c r="S236" s="440">
        <v>0</v>
      </c>
      <c r="T236" s="440">
        <v>975.08948999999984</v>
      </c>
      <c r="U236" s="440">
        <v>0</v>
      </c>
      <c r="V236" s="440">
        <v>0</v>
      </c>
      <c r="W236" s="440">
        <v>46.229489999999998</v>
      </c>
      <c r="X236" s="440">
        <v>5.41</v>
      </c>
      <c r="Y236" s="440">
        <v>0</v>
      </c>
      <c r="Z236" s="440">
        <v>0</v>
      </c>
      <c r="AA236" s="440">
        <v>923.44999999999993</v>
      </c>
      <c r="AB236" s="440">
        <v>0</v>
      </c>
      <c r="AC236" s="440">
        <v>0</v>
      </c>
      <c r="AD236" s="440">
        <v>0</v>
      </c>
      <c r="AE236" s="440">
        <v>0</v>
      </c>
      <c r="AF236" s="440">
        <v>975.08948999999996</v>
      </c>
    </row>
    <row r="237" spans="1:32">
      <c r="A237" s="346" t="s">
        <v>1777</v>
      </c>
      <c r="B237" s="346">
        <v>229</v>
      </c>
      <c r="C237" s="346"/>
      <c r="D237" s="346"/>
      <c r="E237" s="346"/>
      <c r="F237" s="346"/>
      <c r="G237" s="346" t="s">
        <v>1977</v>
      </c>
      <c r="H237" s="346" t="s">
        <v>1861</v>
      </c>
      <c r="I237" s="346" t="s">
        <v>1865</v>
      </c>
      <c r="J237" s="346" t="s">
        <v>1857</v>
      </c>
      <c r="K237" s="346" t="s">
        <v>1852</v>
      </c>
      <c r="L237" s="346" t="s">
        <v>1864</v>
      </c>
      <c r="M237" s="346" t="s">
        <v>1877</v>
      </c>
      <c r="N237" s="440">
        <v>0</v>
      </c>
      <c r="O237" s="440">
        <v>106</v>
      </c>
      <c r="P237" s="440">
        <v>106</v>
      </c>
      <c r="Q237" s="440">
        <v>856.16</v>
      </c>
      <c r="R237" s="440">
        <v>264.56108</v>
      </c>
      <c r="S237" s="440">
        <v>0</v>
      </c>
      <c r="T237" s="440">
        <v>1120.72108</v>
      </c>
      <c r="U237" s="440">
        <v>0</v>
      </c>
      <c r="V237" s="440">
        <v>0</v>
      </c>
      <c r="W237" s="440">
        <v>264.56108</v>
      </c>
      <c r="X237" s="440">
        <v>4.9800000000000004</v>
      </c>
      <c r="Y237" s="440">
        <v>0</v>
      </c>
      <c r="Z237" s="440">
        <v>851.18</v>
      </c>
      <c r="AA237" s="440">
        <v>0</v>
      </c>
      <c r="AB237" s="440">
        <v>0</v>
      </c>
      <c r="AC237" s="440">
        <v>0</v>
      </c>
      <c r="AD237" s="440">
        <v>0</v>
      </c>
      <c r="AE237" s="440">
        <v>0</v>
      </c>
      <c r="AF237" s="440">
        <v>1120.72108</v>
      </c>
    </row>
    <row r="238" spans="1:32">
      <c r="A238" s="346" t="s">
        <v>1777</v>
      </c>
      <c r="B238" s="346">
        <v>230</v>
      </c>
      <c r="C238" s="346"/>
      <c r="D238" s="346"/>
      <c r="E238" s="346"/>
      <c r="F238" s="346"/>
      <c r="G238" s="346" t="s">
        <v>1977</v>
      </c>
      <c r="H238" s="346" t="s">
        <v>1856</v>
      </c>
      <c r="I238" s="346" t="s">
        <v>1850</v>
      </c>
      <c r="J238" s="346" t="s">
        <v>1857</v>
      </c>
      <c r="K238" s="346" t="s">
        <v>1852</v>
      </c>
      <c r="L238" s="346" t="s">
        <v>1858</v>
      </c>
      <c r="M238" s="346" t="s">
        <v>1868</v>
      </c>
      <c r="N238" s="440">
        <v>0</v>
      </c>
      <c r="O238" s="440">
        <v>130</v>
      </c>
      <c r="P238" s="440">
        <v>130</v>
      </c>
      <c r="Q238" s="440">
        <v>1050.0099999999998</v>
      </c>
      <c r="R238" s="440">
        <v>105.88614999999999</v>
      </c>
      <c r="S238" s="440">
        <v>0</v>
      </c>
      <c r="T238" s="440">
        <v>1155.8961499999998</v>
      </c>
      <c r="U238" s="440">
        <v>0</v>
      </c>
      <c r="V238" s="440">
        <v>0</v>
      </c>
      <c r="W238" s="440">
        <v>105.88614999999999</v>
      </c>
      <c r="X238" s="440">
        <v>6.11</v>
      </c>
      <c r="Y238" s="440">
        <v>0</v>
      </c>
      <c r="Z238" s="440">
        <v>1043.8999999999999</v>
      </c>
      <c r="AA238" s="440">
        <v>0</v>
      </c>
      <c r="AB238" s="440">
        <v>0</v>
      </c>
      <c r="AC238" s="440">
        <v>0</v>
      </c>
      <c r="AD238" s="440">
        <v>0</v>
      </c>
      <c r="AE238" s="440">
        <v>0</v>
      </c>
      <c r="AF238" s="440">
        <v>1155.8961499999998</v>
      </c>
    </row>
    <row r="239" spans="1:32">
      <c r="A239" s="346" t="s">
        <v>1777</v>
      </c>
      <c r="B239" s="346">
        <v>231</v>
      </c>
      <c r="C239" s="346"/>
      <c r="D239" s="346"/>
      <c r="E239" s="346"/>
      <c r="F239" s="346"/>
      <c r="G239" s="346" t="s">
        <v>1977</v>
      </c>
      <c r="H239" s="346" t="s">
        <v>1850</v>
      </c>
      <c r="I239" s="346" t="s">
        <v>1850</v>
      </c>
      <c r="J239" s="346" t="s">
        <v>1857</v>
      </c>
      <c r="K239" s="346" t="s">
        <v>1852</v>
      </c>
      <c r="L239" s="346" t="s">
        <v>1868</v>
      </c>
      <c r="M239" s="346" t="s">
        <v>1868</v>
      </c>
      <c r="N239" s="440">
        <v>0</v>
      </c>
      <c r="O239" s="440">
        <v>1078</v>
      </c>
      <c r="P239" s="440">
        <v>1078</v>
      </c>
      <c r="Q239" s="440">
        <v>10354.709999999999</v>
      </c>
      <c r="R239" s="440">
        <v>0</v>
      </c>
      <c r="S239" s="440">
        <v>0</v>
      </c>
      <c r="T239" s="440">
        <v>10354.709999999999</v>
      </c>
      <c r="U239" s="440">
        <v>0</v>
      </c>
      <c r="V239" s="440">
        <v>0</v>
      </c>
      <c r="W239" s="440">
        <v>0</v>
      </c>
      <c r="X239" s="440">
        <v>60.25</v>
      </c>
      <c r="Y239" s="440">
        <v>0</v>
      </c>
      <c r="Z239" s="440">
        <v>10294.459999999999</v>
      </c>
      <c r="AA239" s="440">
        <v>0</v>
      </c>
      <c r="AB239" s="440">
        <v>0</v>
      </c>
      <c r="AC239" s="440">
        <v>0</v>
      </c>
      <c r="AD239" s="440">
        <v>0</v>
      </c>
      <c r="AE239" s="440">
        <v>0</v>
      </c>
      <c r="AF239" s="440">
        <v>10354.709999999999</v>
      </c>
    </row>
    <row r="240" spans="1:32">
      <c r="A240" s="346" t="s">
        <v>1777</v>
      </c>
      <c r="B240" s="346">
        <v>232</v>
      </c>
      <c r="C240" s="346"/>
      <c r="D240" s="346"/>
      <c r="E240" s="346"/>
      <c r="F240" s="346"/>
      <c r="G240" s="346" t="s">
        <v>1977</v>
      </c>
      <c r="H240" s="346" t="s">
        <v>1861</v>
      </c>
      <c r="I240" s="346" t="s">
        <v>1850</v>
      </c>
      <c r="J240" s="346" t="s">
        <v>1857</v>
      </c>
      <c r="K240" s="346" t="s">
        <v>1852</v>
      </c>
      <c r="L240" s="346" t="s">
        <v>1864</v>
      </c>
      <c r="M240" s="346" t="s">
        <v>1868</v>
      </c>
      <c r="N240" s="440">
        <v>0</v>
      </c>
      <c r="O240" s="440">
        <v>50</v>
      </c>
      <c r="P240" s="440">
        <v>50</v>
      </c>
      <c r="Q240" s="440">
        <v>403.84999999999997</v>
      </c>
      <c r="R240" s="440">
        <v>0</v>
      </c>
      <c r="S240" s="440">
        <v>0</v>
      </c>
      <c r="T240" s="440">
        <v>403.84999999999997</v>
      </c>
      <c r="U240" s="440">
        <v>0</v>
      </c>
      <c r="V240" s="440">
        <v>0</v>
      </c>
      <c r="W240" s="440">
        <v>0</v>
      </c>
      <c r="X240" s="440">
        <v>2.35</v>
      </c>
      <c r="Y240" s="440">
        <v>0</v>
      </c>
      <c r="Z240" s="440">
        <v>401.49999999999994</v>
      </c>
      <c r="AA240" s="440">
        <v>0</v>
      </c>
      <c r="AB240" s="440">
        <v>0</v>
      </c>
      <c r="AC240" s="440">
        <v>0</v>
      </c>
      <c r="AD240" s="440">
        <v>0</v>
      </c>
      <c r="AE240" s="440">
        <v>0</v>
      </c>
      <c r="AF240" s="440">
        <v>403.84999999999997</v>
      </c>
    </row>
    <row r="241" spans="1:32">
      <c r="A241" s="346" t="s">
        <v>1777</v>
      </c>
      <c r="B241" s="346">
        <v>233</v>
      </c>
      <c r="C241" s="346"/>
      <c r="D241" s="346"/>
      <c r="E241" s="346"/>
      <c r="F241" s="346"/>
      <c r="G241" s="346" t="s">
        <v>1978</v>
      </c>
      <c r="H241" s="346" t="s">
        <v>1979</v>
      </c>
      <c r="I241" s="346" t="s">
        <v>1979</v>
      </c>
      <c r="J241" s="346" t="s">
        <v>1887</v>
      </c>
      <c r="K241" s="346" t="s">
        <v>1852</v>
      </c>
      <c r="L241" s="346">
        <v>0</v>
      </c>
      <c r="M241" s="346">
        <v>0</v>
      </c>
      <c r="N241" s="440">
        <v>0</v>
      </c>
      <c r="O241" s="440">
        <v>1362138</v>
      </c>
      <c r="P241" s="440">
        <v>1362138</v>
      </c>
      <c r="Q241" s="440">
        <v>8228859.04</v>
      </c>
      <c r="R241" s="440">
        <v>2028395.13</v>
      </c>
      <c r="S241" s="440">
        <v>128290.33</v>
      </c>
      <c r="T241" s="440">
        <v>10385544.5</v>
      </c>
      <c r="U241" s="440">
        <v>8228859.04</v>
      </c>
      <c r="V241" s="440">
        <v>0</v>
      </c>
      <c r="W241" s="440">
        <v>2028395.13</v>
      </c>
      <c r="X241" s="440">
        <v>0</v>
      </c>
      <c r="Y241" s="440">
        <v>0</v>
      </c>
      <c r="Z241" s="440">
        <v>0</v>
      </c>
      <c r="AA241" s="440">
        <v>0</v>
      </c>
      <c r="AB241" s="440">
        <v>0</v>
      </c>
      <c r="AC241" s="440">
        <v>0</v>
      </c>
      <c r="AD241" s="440">
        <v>128290.33</v>
      </c>
      <c r="AE241" s="440">
        <v>0</v>
      </c>
      <c r="AF241" s="440">
        <v>10385544.5</v>
      </c>
    </row>
    <row r="242" spans="1:32">
      <c r="A242" s="346" t="s">
        <v>1777</v>
      </c>
      <c r="B242" s="346">
        <v>234</v>
      </c>
      <c r="C242" s="346"/>
      <c r="D242" s="346"/>
      <c r="E242" s="346"/>
      <c r="F242" s="346"/>
      <c r="G242" s="346" t="s">
        <v>1980</v>
      </c>
      <c r="H242" s="346" t="s">
        <v>1849</v>
      </c>
      <c r="I242" s="346" t="s">
        <v>1856</v>
      </c>
      <c r="J242" s="346" t="s">
        <v>1851</v>
      </c>
      <c r="K242" s="346" t="s">
        <v>1852</v>
      </c>
      <c r="L242" s="346" t="s">
        <v>1902</v>
      </c>
      <c r="M242" s="346" t="s">
        <v>1858</v>
      </c>
      <c r="N242" s="440">
        <v>0</v>
      </c>
      <c r="O242" s="440">
        <v>2</v>
      </c>
      <c r="P242" s="440">
        <v>2</v>
      </c>
      <c r="Q242" s="440">
        <v>107</v>
      </c>
      <c r="R242" s="440">
        <v>1.82</v>
      </c>
      <c r="S242" s="440">
        <v>0</v>
      </c>
      <c r="T242" s="440">
        <v>108.82</v>
      </c>
      <c r="U242" s="440">
        <v>0</v>
      </c>
      <c r="V242" s="440">
        <v>0</v>
      </c>
      <c r="W242" s="440">
        <v>1.82</v>
      </c>
      <c r="X242" s="440">
        <v>0.61</v>
      </c>
      <c r="Y242" s="440">
        <v>0</v>
      </c>
      <c r="Z242" s="440">
        <v>0</v>
      </c>
      <c r="AA242" s="440">
        <v>106.39</v>
      </c>
      <c r="AB242" s="440">
        <v>0</v>
      </c>
      <c r="AC242" s="440">
        <v>0</v>
      </c>
      <c r="AD242" s="440">
        <v>0</v>
      </c>
      <c r="AE242" s="440">
        <v>0</v>
      </c>
      <c r="AF242" s="440">
        <v>108.82000000000001</v>
      </c>
    </row>
    <row r="243" spans="1:32">
      <c r="A243" s="346" t="s">
        <v>1777</v>
      </c>
      <c r="B243" s="346">
        <v>235</v>
      </c>
      <c r="C243" s="346"/>
      <c r="D243" s="346"/>
      <c r="E243" s="346"/>
      <c r="F243" s="346"/>
      <c r="G243" s="346" t="s">
        <v>1980</v>
      </c>
      <c r="H243" s="346" t="s">
        <v>1849</v>
      </c>
      <c r="I243" s="346" t="s">
        <v>1865</v>
      </c>
      <c r="J243" s="346" t="s">
        <v>1851</v>
      </c>
      <c r="K243" s="346" t="s">
        <v>1852</v>
      </c>
      <c r="L243" s="346" t="s">
        <v>1902</v>
      </c>
      <c r="M243" s="346" t="s">
        <v>1866</v>
      </c>
      <c r="N243" s="440">
        <v>0</v>
      </c>
      <c r="O243" s="440">
        <v>0</v>
      </c>
      <c r="P243" s="440">
        <v>0</v>
      </c>
      <c r="Q243" s="440">
        <v>153.45999999999998</v>
      </c>
      <c r="R243" s="440">
        <v>0</v>
      </c>
      <c r="S243" s="440">
        <v>0</v>
      </c>
      <c r="T243" s="440">
        <v>153.45999999999998</v>
      </c>
      <c r="U243" s="440">
        <v>0</v>
      </c>
      <c r="V243" s="440">
        <v>0</v>
      </c>
      <c r="W243" s="440">
        <v>0</v>
      </c>
      <c r="X243" s="440">
        <v>0.89</v>
      </c>
      <c r="Y243" s="440">
        <v>0</v>
      </c>
      <c r="Z243" s="440">
        <v>0</v>
      </c>
      <c r="AA243" s="440">
        <v>152.57</v>
      </c>
      <c r="AB243" s="440">
        <v>0</v>
      </c>
      <c r="AC243" s="440">
        <v>0</v>
      </c>
      <c r="AD243" s="440">
        <v>0</v>
      </c>
      <c r="AE243" s="440">
        <v>0</v>
      </c>
      <c r="AF243" s="440">
        <v>153.45999999999998</v>
      </c>
    </row>
    <row r="244" spans="1:32">
      <c r="A244" s="346" t="s">
        <v>1777</v>
      </c>
      <c r="B244" s="346">
        <v>236</v>
      </c>
      <c r="C244" s="346"/>
      <c r="D244" s="346"/>
      <c r="E244" s="346"/>
      <c r="F244" s="346"/>
      <c r="G244" s="346" t="s">
        <v>1980</v>
      </c>
      <c r="H244" s="346" t="s">
        <v>1856</v>
      </c>
      <c r="I244" s="346" t="s">
        <v>1856</v>
      </c>
      <c r="J244" s="346" t="s">
        <v>1851</v>
      </c>
      <c r="K244" s="346" t="s">
        <v>1852</v>
      </c>
      <c r="L244" s="346" t="s">
        <v>1858</v>
      </c>
      <c r="M244" s="346" t="s">
        <v>1904</v>
      </c>
      <c r="N244" s="440">
        <v>0</v>
      </c>
      <c r="O244" s="440">
        <v>100</v>
      </c>
      <c r="P244" s="440">
        <v>100</v>
      </c>
      <c r="Q244" s="440">
        <v>1092.6299999999999</v>
      </c>
      <c r="R244" s="440">
        <v>-793.55598999999995</v>
      </c>
      <c r="S244" s="440">
        <v>0</v>
      </c>
      <c r="T244" s="440">
        <v>299.07400999999993</v>
      </c>
      <c r="U244" s="440">
        <v>0</v>
      </c>
      <c r="V244" s="440">
        <v>0</v>
      </c>
      <c r="W244" s="440">
        <v>-793.55598999999995</v>
      </c>
      <c r="X244" s="440">
        <v>5.88</v>
      </c>
      <c r="Y244" s="440">
        <v>0</v>
      </c>
      <c r="Z244" s="440">
        <v>0</v>
      </c>
      <c r="AA244" s="440">
        <v>1086.75</v>
      </c>
      <c r="AB244" s="440">
        <v>0</v>
      </c>
      <c r="AC244" s="440">
        <v>0</v>
      </c>
      <c r="AD244" s="440">
        <v>0</v>
      </c>
      <c r="AE244" s="440">
        <v>0</v>
      </c>
      <c r="AF244" s="440">
        <v>299.07401000000004</v>
      </c>
    </row>
    <row r="245" spans="1:32">
      <c r="A245" s="346" t="s">
        <v>1777</v>
      </c>
      <c r="B245" s="346">
        <v>237</v>
      </c>
      <c r="C245" s="346"/>
      <c r="D245" s="346"/>
      <c r="E245" s="346"/>
      <c r="F245" s="346"/>
      <c r="G245" s="346" t="s">
        <v>1980</v>
      </c>
      <c r="H245" s="346" t="s">
        <v>1856</v>
      </c>
      <c r="I245" s="346" t="s">
        <v>1856</v>
      </c>
      <c r="J245" s="346" t="s">
        <v>1851</v>
      </c>
      <c r="K245" s="346" t="s">
        <v>1852</v>
      </c>
      <c r="L245" s="346" t="s">
        <v>1858</v>
      </c>
      <c r="M245" s="346" t="s">
        <v>1981</v>
      </c>
      <c r="N245" s="440">
        <v>0</v>
      </c>
      <c r="O245" s="440">
        <v>0</v>
      </c>
      <c r="P245" s="440">
        <v>0</v>
      </c>
      <c r="Q245" s="440">
        <v>90.77</v>
      </c>
      <c r="R245" s="440">
        <v>0</v>
      </c>
      <c r="S245" s="440">
        <v>0</v>
      </c>
      <c r="T245" s="440">
        <v>90.77</v>
      </c>
      <c r="U245" s="440">
        <v>0</v>
      </c>
      <c r="V245" s="440">
        <v>0</v>
      </c>
      <c r="W245" s="440">
        <v>0</v>
      </c>
      <c r="X245" s="440">
        <v>0.47</v>
      </c>
      <c r="Y245" s="440">
        <v>0</v>
      </c>
      <c r="Z245" s="440">
        <v>0</v>
      </c>
      <c r="AA245" s="440">
        <v>90.3</v>
      </c>
      <c r="AB245" s="440">
        <v>0</v>
      </c>
      <c r="AC245" s="440">
        <v>0</v>
      </c>
      <c r="AD245" s="440">
        <v>0</v>
      </c>
      <c r="AE245" s="440">
        <v>0</v>
      </c>
      <c r="AF245" s="440">
        <v>90.77</v>
      </c>
    </row>
    <row r="246" spans="1:32">
      <c r="A246" s="346" t="s">
        <v>1777</v>
      </c>
      <c r="B246" s="346">
        <v>238</v>
      </c>
      <c r="C246" s="346"/>
      <c r="D246" s="346"/>
      <c r="E246" s="346"/>
      <c r="F246" s="346"/>
      <c r="G246" s="346" t="s">
        <v>1980</v>
      </c>
      <c r="H246" s="346" t="s">
        <v>1982</v>
      </c>
      <c r="I246" s="346" t="s">
        <v>1865</v>
      </c>
      <c r="J246" s="346" t="s">
        <v>1851</v>
      </c>
      <c r="K246" s="346" t="s">
        <v>1852</v>
      </c>
      <c r="L246" s="346" t="s">
        <v>1983</v>
      </c>
      <c r="M246" s="346" t="s">
        <v>1877</v>
      </c>
      <c r="N246" s="440">
        <v>0</v>
      </c>
      <c r="O246" s="440">
        <v>0</v>
      </c>
      <c r="P246" s="440">
        <v>0</v>
      </c>
      <c r="Q246" s="440">
        <v>45.39</v>
      </c>
      <c r="R246" s="440">
        <v>0</v>
      </c>
      <c r="S246" s="440">
        <v>0</v>
      </c>
      <c r="T246" s="440">
        <v>45.39</v>
      </c>
      <c r="U246" s="440">
        <v>0</v>
      </c>
      <c r="V246" s="440">
        <v>0</v>
      </c>
      <c r="W246" s="440">
        <v>0</v>
      </c>
      <c r="X246" s="440">
        <v>0.24</v>
      </c>
      <c r="Y246" s="440">
        <v>0</v>
      </c>
      <c r="Z246" s="440">
        <v>0</v>
      </c>
      <c r="AA246" s="440">
        <v>45.15</v>
      </c>
      <c r="AB246" s="440">
        <v>0</v>
      </c>
      <c r="AC246" s="440">
        <v>0</v>
      </c>
      <c r="AD246" s="440">
        <v>0</v>
      </c>
      <c r="AE246" s="440">
        <v>0</v>
      </c>
      <c r="AF246" s="440">
        <v>45.39</v>
      </c>
    </row>
    <row r="247" spans="1:32">
      <c r="A247" s="346" t="s">
        <v>1777</v>
      </c>
      <c r="B247" s="346">
        <v>239</v>
      </c>
      <c r="C247" s="346"/>
      <c r="D247" s="346"/>
      <c r="E247" s="346"/>
      <c r="F247" s="346"/>
      <c r="G247" s="346" t="s">
        <v>1984</v>
      </c>
      <c r="H247" s="346" t="s">
        <v>1849</v>
      </c>
      <c r="I247" s="346" t="s">
        <v>1865</v>
      </c>
      <c r="J247" s="346" t="s">
        <v>1857</v>
      </c>
      <c r="K247" s="346" t="s">
        <v>1852</v>
      </c>
      <c r="L247" s="346" t="s">
        <v>1902</v>
      </c>
      <c r="M247" s="346" t="s">
        <v>1866</v>
      </c>
      <c r="N247" s="440">
        <v>0</v>
      </c>
      <c r="O247" s="440">
        <v>29</v>
      </c>
      <c r="P247" s="440">
        <v>29</v>
      </c>
      <c r="Q247" s="440">
        <v>735.01</v>
      </c>
      <c r="R247" s="440">
        <v>0</v>
      </c>
      <c r="S247" s="440">
        <v>0</v>
      </c>
      <c r="T247" s="440">
        <v>735.01</v>
      </c>
      <c r="U247" s="440">
        <v>0</v>
      </c>
      <c r="V247" s="440">
        <v>0</v>
      </c>
      <c r="W247" s="440">
        <v>0</v>
      </c>
      <c r="X247" s="440">
        <v>4.28</v>
      </c>
      <c r="Y247" s="440">
        <v>0</v>
      </c>
      <c r="Z247" s="440">
        <v>730.73</v>
      </c>
      <c r="AA247" s="440">
        <v>0</v>
      </c>
      <c r="AB247" s="440">
        <v>0</v>
      </c>
      <c r="AC247" s="440">
        <v>0</v>
      </c>
      <c r="AD247" s="440">
        <v>0</v>
      </c>
      <c r="AE247" s="440">
        <v>0</v>
      </c>
      <c r="AF247" s="440">
        <v>735.01</v>
      </c>
    </row>
    <row r="248" spans="1:32">
      <c r="A248" s="346" t="s">
        <v>1777</v>
      </c>
      <c r="B248" s="346">
        <v>240</v>
      </c>
      <c r="C248" s="346"/>
      <c r="D248" s="346"/>
      <c r="E248" s="346"/>
      <c r="F248" s="346"/>
      <c r="G248" s="346" t="s">
        <v>1984</v>
      </c>
      <c r="H248" s="346" t="s">
        <v>1856</v>
      </c>
      <c r="I248" s="346" t="s">
        <v>1856</v>
      </c>
      <c r="J248" s="346" t="s">
        <v>1857</v>
      </c>
      <c r="K248" s="346" t="s">
        <v>1852</v>
      </c>
      <c r="L248" s="346" t="s">
        <v>1858</v>
      </c>
      <c r="M248" s="346" t="s">
        <v>1904</v>
      </c>
      <c r="N248" s="440">
        <v>0</v>
      </c>
      <c r="O248" s="440">
        <v>3089</v>
      </c>
      <c r="P248" s="440">
        <v>3089</v>
      </c>
      <c r="Q248" s="440">
        <v>31531.209999999995</v>
      </c>
      <c r="R248" s="440">
        <v>543.93999999999994</v>
      </c>
      <c r="S248" s="440">
        <v>0</v>
      </c>
      <c r="T248" s="440">
        <v>32075.149999999994</v>
      </c>
      <c r="U248" s="440">
        <v>0</v>
      </c>
      <c r="V248" s="440">
        <v>0</v>
      </c>
      <c r="W248" s="440">
        <v>543.93999999999994</v>
      </c>
      <c r="X248" s="440">
        <v>175.92000000000004</v>
      </c>
      <c r="Y248" s="440">
        <v>0</v>
      </c>
      <c r="Z248" s="440">
        <v>31355.289999999997</v>
      </c>
      <c r="AA248" s="440">
        <v>0</v>
      </c>
      <c r="AB248" s="440">
        <v>0</v>
      </c>
      <c r="AC248" s="440">
        <v>0</v>
      </c>
      <c r="AD248" s="440">
        <v>0</v>
      </c>
      <c r="AE248" s="440">
        <v>0</v>
      </c>
      <c r="AF248" s="440">
        <v>32075.149999999998</v>
      </c>
    </row>
    <row r="249" spans="1:32">
      <c r="A249" s="346" t="s">
        <v>1777</v>
      </c>
      <c r="B249" s="346">
        <v>241</v>
      </c>
      <c r="C249" s="346"/>
      <c r="D249" s="346"/>
      <c r="E249" s="346"/>
      <c r="F249" s="346"/>
      <c r="G249" s="346" t="s">
        <v>1984</v>
      </c>
      <c r="H249" s="346" t="s">
        <v>1982</v>
      </c>
      <c r="I249" s="346" t="s">
        <v>1856</v>
      </c>
      <c r="J249" s="346" t="s">
        <v>1857</v>
      </c>
      <c r="K249" s="346" t="s">
        <v>1852</v>
      </c>
      <c r="L249" s="346" t="s">
        <v>1983</v>
      </c>
      <c r="M249" s="346" t="s">
        <v>1858</v>
      </c>
      <c r="N249" s="440">
        <v>0</v>
      </c>
      <c r="O249" s="440">
        <v>5</v>
      </c>
      <c r="P249" s="440">
        <v>5</v>
      </c>
      <c r="Q249" s="440">
        <v>45.39</v>
      </c>
      <c r="R249" s="440">
        <v>0</v>
      </c>
      <c r="S249" s="440">
        <v>0</v>
      </c>
      <c r="T249" s="440">
        <v>45.39</v>
      </c>
      <c r="U249" s="440">
        <v>0</v>
      </c>
      <c r="V249" s="440">
        <v>0</v>
      </c>
      <c r="W249" s="440">
        <v>0</v>
      </c>
      <c r="X249" s="440">
        <v>0.24</v>
      </c>
      <c r="Y249" s="440">
        <v>0</v>
      </c>
      <c r="Z249" s="440">
        <v>45.15</v>
      </c>
      <c r="AA249" s="440">
        <v>0</v>
      </c>
      <c r="AB249" s="440">
        <v>0</v>
      </c>
      <c r="AC249" s="440">
        <v>0</v>
      </c>
      <c r="AD249" s="440">
        <v>0</v>
      </c>
      <c r="AE249" s="440">
        <v>0</v>
      </c>
      <c r="AF249" s="440">
        <v>45.39</v>
      </c>
    </row>
    <row r="250" spans="1:32">
      <c r="A250" s="346" t="s">
        <v>1777</v>
      </c>
      <c r="B250" s="346">
        <v>242</v>
      </c>
      <c r="C250" s="346"/>
      <c r="D250" s="346"/>
      <c r="E250" s="346"/>
      <c r="F250" s="346"/>
      <c r="G250" s="346" t="s">
        <v>1985</v>
      </c>
      <c r="H250" s="346" t="s">
        <v>1849</v>
      </c>
      <c r="I250" s="346" t="s">
        <v>1865</v>
      </c>
      <c r="J250" s="346" t="s">
        <v>1862</v>
      </c>
      <c r="K250" s="346" t="s">
        <v>1852</v>
      </c>
      <c r="L250" s="346" t="s">
        <v>1902</v>
      </c>
      <c r="M250" s="346" t="s">
        <v>1866</v>
      </c>
      <c r="N250" s="440">
        <v>40</v>
      </c>
      <c r="O250" s="440">
        <v>92392</v>
      </c>
      <c r="P250" s="440">
        <v>92392</v>
      </c>
      <c r="Q250" s="440">
        <v>1735220.0233333299</v>
      </c>
      <c r="R250" s="440">
        <v>0</v>
      </c>
      <c r="S250" s="440">
        <v>0</v>
      </c>
      <c r="T250" s="440">
        <v>1735220.0233333299</v>
      </c>
      <c r="U250" s="440">
        <v>1719653.33333333</v>
      </c>
      <c r="V250" s="440">
        <v>0</v>
      </c>
      <c r="W250" s="440">
        <v>0</v>
      </c>
      <c r="X250" s="440">
        <v>15566.69</v>
      </c>
      <c r="Y250" s="440">
        <v>0</v>
      </c>
      <c r="Z250" s="440">
        <v>0</v>
      </c>
      <c r="AA250" s="440">
        <v>0</v>
      </c>
      <c r="AB250" s="440">
        <v>0</v>
      </c>
      <c r="AC250" s="440">
        <v>0</v>
      </c>
      <c r="AD250" s="440">
        <v>0</v>
      </c>
      <c r="AE250" s="440">
        <v>0</v>
      </c>
      <c r="AF250" s="440">
        <v>1735220.0233333299</v>
      </c>
    </row>
    <row r="251" spans="1:32">
      <c r="A251" s="346" t="s">
        <v>1777</v>
      </c>
      <c r="B251" s="346">
        <v>243</v>
      </c>
      <c r="C251" s="346"/>
      <c r="D251" s="346"/>
      <c r="E251" s="346"/>
      <c r="F251" s="346"/>
      <c r="G251" s="346" t="s">
        <v>1986</v>
      </c>
      <c r="H251" s="346" t="s">
        <v>1907</v>
      </c>
      <c r="I251" s="346" t="s">
        <v>1861</v>
      </c>
      <c r="J251" s="346" t="s">
        <v>1851</v>
      </c>
      <c r="K251" s="346" t="s">
        <v>1852</v>
      </c>
      <c r="L251" s="346" t="s">
        <v>1913</v>
      </c>
      <c r="M251" s="346" t="s">
        <v>1864</v>
      </c>
      <c r="N251" s="440">
        <v>0</v>
      </c>
      <c r="O251" s="440">
        <v>520</v>
      </c>
      <c r="P251" s="440">
        <v>520</v>
      </c>
      <c r="Q251" s="440">
        <v>8076.9999999999991</v>
      </c>
      <c r="R251" s="440">
        <v>790.82731000000001</v>
      </c>
      <c r="S251" s="440">
        <v>0</v>
      </c>
      <c r="T251" s="440">
        <v>8867.8273099999988</v>
      </c>
      <c r="U251" s="440">
        <v>0</v>
      </c>
      <c r="V251" s="440">
        <v>0</v>
      </c>
      <c r="W251" s="440">
        <v>790.82731000000001</v>
      </c>
      <c r="X251" s="440">
        <v>0</v>
      </c>
      <c r="Y251" s="440">
        <v>0</v>
      </c>
      <c r="Z251" s="440">
        <v>0</v>
      </c>
      <c r="AA251" s="440">
        <v>0</v>
      </c>
      <c r="AB251" s="440">
        <v>0</v>
      </c>
      <c r="AC251" s="440">
        <v>0</v>
      </c>
      <c r="AD251" s="440">
        <v>0</v>
      </c>
      <c r="AE251" s="440">
        <v>0</v>
      </c>
      <c r="AF251" s="440">
        <v>790.82731000000001</v>
      </c>
    </row>
    <row r="252" spans="1:32">
      <c r="A252" s="346" t="s">
        <v>1777</v>
      </c>
      <c r="B252" s="346">
        <v>244</v>
      </c>
      <c r="C252" s="346"/>
      <c r="D252" s="346"/>
      <c r="E252" s="346"/>
      <c r="F252" s="346"/>
      <c r="G252" s="346" t="s">
        <v>1986</v>
      </c>
      <c r="H252" s="346" t="s">
        <v>1849</v>
      </c>
      <c r="I252" s="346" t="s">
        <v>1865</v>
      </c>
      <c r="J252" s="346" t="s">
        <v>1851</v>
      </c>
      <c r="K252" s="346" t="s">
        <v>1852</v>
      </c>
      <c r="L252" s="346" t="s">
        <v>1859</v>
      </c>
      <c r="M252" s="346" t="s">
        <v>1866</v>
      </c>
      <c r="N252" s="440">
        <v>0</v>
      </c>
      <c r="O252" s="440">
        <v>293</v>
      </c>
      <c r="P252" s="440">
        <v>293</v>
      </c>
      <c r="Q252" s="440">
        <v>17026.009999999998</v>
      </c>
      <c r="R252" s="440">
        <v>3172.5903200000007</v>
      </c>
      <c r="S252" s="440">
        <v>0</v>
      </c>
      <c r="T252" s="440">
        <v>20198.600319999998</v>
      </c>
      <c r="U252" s="440">
        <v>0</v>
      </c>
      <c r="V252" s="440">
        <v>0</v>
      </c>
      <c r="W252" s="440">
        <v>3172.5903200000007</v>
      </c>
      <c r="X252" s="440">
        <v>95.84</v>
      </c>
      <c r="Y252" s="440">
        <v>0</v>
      </c>
      <c r="Z252" s="440">
        <v>0</v>
      </c>
      <c r="AA252" s="440">
        <v>16930.169999999998</v>
      </c>
      <c r="AB252" s="440">
        <v>0</v>
      </c>
      <c r="AC252" s="440">
        <v>0</v>
      </c>
      <c r="AD252" s="440">
        <v>0</v>
      </c>
      <c r="AE252" s="440">
        <v>0</v>
      </c>
      <c r="AF252" s="440">
        <v>20198.600319999998</v>
      </c>
    </row>
    <row r="253" spans="1:32">
      <c r="A253" s="346" t="s">
        <v>1777</v>
      </c>
      <c r="B253" s="346">
        <v>245</v>
      </c>
      <c r="C253" s="346"/>
      <c r="D253" s="346"/>
      <c r="E253" s="346"/>
      <c r="F253" s="346"/>
      <c r="G253" s="346" t="s">
        <v>1986</v>
      </c>
      <c r="H253" s="346" t="s">
        <v>1856</v>
      </c>
      <c r="I253" s="346" t="s">
        <v>1861</v>
      </c>
      <c r="J253" s="346" t="s">
        <v>1851</v>
      </c>
      <c r="K253" s="346" t="s">
        <v>1852</v>
      </c>
      <c r="L253" s="346" t="s">
        <v>1858</v>
      </c>
      <c r="M253" s="346" t="s">
        <v>1864</v>
      </c>
      <c r="N253" s="440">
        <v>0</v>
      </c>
      <c r="O253" s="440">
        <v>334</v>
      </c>
      <c r="P253" s="440">
        <v>334</v>
      </c>
      <c r="Q253" s="440">
        <v>3230.7999999999997</v>
      </c>
      <c r="R253" s="440">
        <v>-298.69</v>
      </c>
      <c r="S253" s="440">
        <v>0</v>
      </c>
      <c r="T253" s="440">
        <v>2932.1099999999997</v>
      </c>
      <c r="U253" s="440">
        <v>0</v>
      </c>
      <c r="V253" s="440">
        <v>0</v>
      </c>
      <c r="W253" s="440">
        <v>-298.69</v>
      </c>
      <c r="X253" s="440">
        <v>18.8</v>
      </c>
      <c r="Y253" s="440">
        <v>0</v>
      </c>
      <c r="Z253" s="440">
        <v>0</v>
      </c>
      <c r="AA253" s="440">
        <v>3211.9999999999995</v>
      </c>
      <c r="AB253" s="440">
        <v>0</v>
      </c>
      <c r="AC253" s="440">
        <v>0</v>
      </c>
      <c r="AD253" s="440">
        <v>0</v>
      </c>
      <c r="AE253" s="440">
        <v>0</v>
      </c>
      <c r="AF253" s="440">
        <v>2932.1099999999997</v>
      </c>
    </row>
    <row r="254" spans="1:32">
      <c r="A254" s="346" t="s">
        <v>1777</v>
      </c>
      <c r="B254" s="346">
        <v>246</v>
      </c>
      <c r="C254" s="346"/>
      <c r="D254" s="346"/>
      <c r="E254" s="346"/>
      <c r="F254" s="346"/>
      <c r="G254" s="346" t="s">
        <v>1986</v>
      </c>
      <c r="H254" s="346" t="s">
        <v>1849</v>
      </c>
      <c r="I254" s="346" t="s">
        <v>1861</v>
      </c>
      <c r="J254" s="346" t="s">
        <v>1851</v>
      </c>
      <c r="K254" s="346" t="s">
        <v>1852</v>
      </c>
      <c r="L254" s="346" t="s">
        <v>1889</v>
      </c>
      <c r="M254" s="346" t="s">
        <v>1864</v>
      </c>
      <c r="N254" s="440">
        <v>0</v>
      </c>
      <c r="O254" s="440">
        <v>375</v>
      </c>
      <c r="P254" s="440">
        <v>375</v>
      </c>
      <c r="Q254" s="440">
        <v>11493.64</v>
      </c>
      <c r="R254" s="440">
        <v>4719</v>
      </c>
      <c r="S254" s="440">
        <v>0</v>
      </c>
      <c r="T254" s="440">
        <v>16212.64</v>
      </c>
      <c r="U254" s="440">
        <v>0</v>
      </c>
      <c r="V254" s="440">
        <v>0</v>
      </c>
      <c r="W254" s="440">
        <v>4719</v>
      </c>
      <c r="X254" s="440">
        <v>132.30000000000001</v>
      </c>
      <c r="Y254" s="440">
        <v>0</v>
      </c>
      <c r="Z254" s="440">
        <v>0</v>
      </c>
      <c r="AA254" s="440">
        <v>23016.449999999997</v>
      </c>
      <c r="AB254" s="440">
        <v>0</v>
      </c>
      <c r="AC254" s="440">
        <v>0</v>
      </c>
      <c r="AD254" s="440">
        <v>0</v>
      </c>
      <c r="AE254" s="440">
        <v>0</v>
      </c>
      <c r="AF254" s="440">
        <v>27867.749999999996</v>
      </c>
    </row>
    <row r="255" spans="1:32">
      <c r="A255" s="346" t="s">
        <v>1777</v>
      </c>
      <c r="B255" s="346">
        <v>247</v>
      </c>
      <c r="C255" s="346"/>
      <c r="D255" s="346"/>
      <c r="E255" s="346"/>
      <c r="F255" s="346"/>
      <c r="G255" s="346" t="s">
        <v>1986</v>
      </c>
      <c r="H255" s="346" t="s">
        <v>1856</v>
      </c>
      <c r="I255" s="346" t="s">
        <v>1861</v>
      </c>
      <c r="J255" s="346" t="s">
        <v>1851</v>
      </c>
      <c r="K255" s="346" t="s">
        <v>1852</v>
      </c>
      <c r="L255" s="346" t="s">
        <v>1874</v>
      </c>
      <c r="M255" s="346" t="s">
        <v>1864</v>
      </c>
      <c r="N255" s="440">
        <v>0</v>
      </c>
      <c r="O255" s="440">
        <v>432</v>
      </c>
      <c r="P255" s="440">
        <v>432</v>
      </c>
      <c r="Q255" s="440">
        <v>3578.1099999999997</v>
      </c>
      <c r="R255" s="440">
        <v>600.07000000000005</v>
      </c>
      <c r="S255" s="440">
        <v>0</v>
      </c>
      <c r="T255" s="440">
        <v>4178.1799999999994</v>
      </c>
      <c r="U255" s="440">
        <v>0</v>
      </c>
      <c r="V255" s="440">
        <v>0</v>
      </c>
      <c r="W255" s="440">
        <v>600.07000000000005</v>
      </c>
      <c r="X255" s="440">
        <v>0</v>
      </c>
      <c r="Y255" s="440">
        <v>0</v>
      </c>
      <c r="Z255" s="440">
        <v>0</v>
      </c>
      <c r="AA255" s="440">
        <v>0</v>
      </c>
      <c r="AB255" s="440">
        <v>0</v>
      </c>
      <c r="AC255" s="440">
        <v>0</v>
      </c>
      <c r="AD255" s="440">
        <v>0</v>
      </c>
      <c r="AE255" s="440">
        <v>0</v>
      </c>
      <c r="AF255" s="440">
        <v>600.07000000000005</v>
      </c>
    </row>
    <row r="256" spans="1:32">
      <c r="A256" s="346" t="s">
        <v>1777</v>
      </c>
      <c r="B256" s="346">
        <v>248</v>
      </c>
      <c r="C256" s="346"/>
      <c r="D256" s="346"/>
      <c r="E256" s="346"/>
      <c r="F256" s="346"/>
      <c r="G256" s="346" t="s">
        <v>1986</v>
      </c>
      <c r="H256" s="346" t="s">
        <v>1849</v>
      </c>
      <c r="I256" s="346" t="s">
        <v>1856</v>
      </c>
      <c r="J256" s="346" t="s">
        <v>1851</v>
      </c>
      <c r="K256" s="346" t="s">
        <v>1852</v>
      </c>
      <c r="L256" s="346" t="s">
        <v>1889</v>
      </c>
      <c r="M256" s="346" t="s">
        <v>1858</v>
      </c>
      <c r="N256" s="440">
        <v>0</v>
      </c>
      <c r="O256" s="440">
        <v>2003</v>
      </c>
      <c r="P256" s="440">
        <v>2003</v>
      </c>
      <c r="Q256" s="440">
        <v>2178.48</v>
      </c>
      <c r="R256" s="440">
        <v>0</v>
      </c>
      <c r="S256" s="440">
        <v>0</v>
      </c>
      <c r="T256" s="440">
        <v>2178.48</v>
      </c>
      <c r="U256" s="440">
        <v>0</v>
      </c>
      <c r="V256" s="440">
        <v>0</v>
      </c>
      <c r="W256" s="440">
        <v>0</v>
      </c>
      <c r="X256" s="440">
        <v>11.28</v>
      </c>
      <c r="Y256" s="440">
        <v>0</v>
      </c>
      <c r="Z256" s="440">
        <v>0</v>
      </c>
      <c r="AA256" s="440">
        <v>2167.1999999999998</v>
      </c>
      <c r="AB256" s="440">
        <v>0</v>
      </c>
      <c r="AC256" s="440">
        <v>0</v>
      </c>
      <c r="AD256" s="440">
        <v>0</v>
      </c>
      <c r="AE256" s="440">
        <v>0</v>
      </c>
      <c r="AF256" s="440">
        <v>2178.48</v>
      </c>
    </row>
    <row r="257" spans="1:32">
      <c r="A257" s="346" t="s">
        <v>1777</v>
      </c>
      <c r="B257" s="346">
        <v>249</v>
      </c>
      <c r="C257" s="346"/>
      <c r="D257" s="346"/>
      <c r="E257" s="346"/>
      <c r="F257" s="346"/>
      <c r="G257" s="346" t="s">
        <v>1987</v>
      </c>
      <c r="H257" s="346" t="s">
        <v>1849</v>
      </c>
      <c r="I257" s="346" t="s">
        <v>1861</v>
      </c>
      <c r="J257" s="346" t="s">
        <v>1857</v>
      </c>
      <c r="K257" s="346" t="s">
        <v>1852</v>
      </c>
      <c r="L257" s="346" t="s">
        <v>1889</v>
      </c>
      <c r="M257" s="346" t="s">
        <v>1864</v>
      </c>
      <c r="N257" s="440">
        <v>0</v>
      </c>
      <c r="O257" s="440">
        <v>774</v>
      </c>
      <c r="P257" s="440">
        <v>774</v>
      </c>
      <c r="Q257" s="440">
        <v>6784.6799999999994</v>
      </c>
      <c r="R257" s="440">
        <v>0</v>
      </c>
      <c r="S257" s="440">
        <v>0</v>
      </c>
      <c r="T257" s="440">
        <v>6784.6799999999994</v>
      </c>
      <c r="U257" s="440">
        <v>0</v>
      </c>
      <c r="V257" s="440">
        <v>0</v>
      </c>
      <c r="W257" s="440">
        <v>0</v>
      </c>
      <c r="X257" s="440">
        <v>39.479999999999997</v>
      </c>
      <c r="Y257" s="440">
        <v>0</v>
      </c>
      <c r="Z257" s="440">
        <v>6745.1999999999989</v>
      </c>
      <c r="AA257" s="440">
        <v>0</v>
      </c>
      <c r="AB257" s="440">
        <v>0</v>
      </c>
      <c r="AC257" s="440">
        <v>0</v>
      </c>
      <c r="AD257" s="440">
        <v>0</v>
      </c>
      <c r="AE257" s="440">
        <v>0</v>
      </c>
      <c r="AF257" s="440">
        <v>6784.6799999999985</v>
      </c>
    </row>
    <row r="258" spans="1:32">
      <c r="A258" s="346" t="s">
        <v>1777</v>
      </c>
      <c r="B258" s="346">
        <v>250</v>
      </c>
      <c r="C258" s="346"/>
      <c r="D258" s="346"/>
      <c r="E258" s="346"/>
      <c r="F258" s="346"/>
      <c r="G258" s="346" t="s">
        <v>1987</v>
      </c>
      <c r="H258" s="346" t="s">
        <v>1849</v>
      </c>
      <c r="I258" s="346" t="s">
        <v>1865</v>
      </c>
      <c r="J258" s="346" t="s">
        <v>1857</v>
      </c>
      <c r="K258" s="346" t="s">
        <v>1852</v>
      </c>
      <c r="L258" s="346" t="s">
        <v>1859</v>
      </c>
      <c r="M258" s="346" t="s">
        <v>1866</v>
      </c>
      <c r="N258" s="440">
        <v>0</v>
      </c>
      <c r="O258" s="440">
        <v>913</v>
      </c>
      <c r="P258" s="440">
        <v>913</v>
      </c>
      <c r="Q258" s="440">
        <v>23515.39</v>
      </c>
      <c r="R258" s="440">
        <v>85.01</v>
      </c>
      <c r="S258" s="440">
        <v>0</v>
      </c>
      <c r="T258" s="440">
        <v>23600.399999999998</v>
      </c>
      <c r="U258" s="440">
        <v>0</v>
      </c>
      <c r="V258" s="440">
        <v>0</v>
      </c>
      <c r="W258" s="440">
        <v>85.01</v>
      </c>
      <c r="X258" s="440">
        <v>174.24</v>
      </c>
      <c r="Y258" s="440">
        <v>0</v>
      </c>
      <c r="Z258" s="440">
        <v>23341.149999999998</v>
      </c>
      <c r="AA258" s="440">
        <v>0</v>
      </c>
      <c r="AB258" s="440">
        <v>0</v>
      </c>
      <c r="AC258" s="440">
        <v>0</v>
      </c>
      <c r="AD258" s="440">
        <v>0</v>
      </c>
      <c r="AE258" s="440">
        <v>0</v>
      </c>
      <c r="AF258" s="440">
        <v>23600.399999999998</v>
      </c>
    </row>
    <row r="259" spans="1:32">
      <c r="A259" s="346" t="s">
        <v>1777</v>
      </c>
      <c r="B259" s="346">
        <v>251</v>
      </c>
      <c r="C259" s="346"/>
      <c r="D259" s="346"/>
      <c r="E259" s="346"/>
      <c r="F259" s="346"/>
      <c r="G259" s="346" t="s">
        <v>1987</v>
      </c>
      <c r="H259" s="346" t="s">
        <v>1849</v>
      </c>
      <c r="I259" s="346" t="s">
        <v>1856</v>
      </c>
      <c r="J259" s="346" t="s">
        <v>1857</v>
      </c>
      <c r="K259" s="346" t="s">
        <v>1852</v>
      </c>
      <c r="L259" s="346" t="s">
        <v>1889</v>
      </c>
      <c r="M259" s="346" t="s">
        <v>1858</v>
      </c>
      <c r="N259" s="440">
        <v>0</v>
      </c>
      <c r="O259" s="440">
        <v>2003</v>
      </c>
      <c r="P259" s="440">
        <v>2003</v>
      </c>
      <c r="Q259" s="440">
        <v>30861.799999999996</v>
      </c>
      <c r="R259" s="440">
        <v>0</v>
      </c>
      <c r="S259" s="440">
        <v>0</v>
      </c>
      <c r="T259" s="440">
        <v>30861.799999999996</v>
      </c>
      <c r="U259" s="440">
        <v>0</v>
      </c>
      <c r="V259" s="440">
        <v>0</v>
      </c>
      <c r="W259" s="440">
        <v>0</v>
      </c>
      <c r="X259" s="440">
        <v>159.80000000000001</v>
      </c>
      <c r="Y259" s="440">
        <v>0</v>
      </c>
      <c r="Z259" s="440">
        <v>30701.999999999996</v>
      </c>
      <c r="AA259" s="440">
        <v>0</v>
      </c>
      <c r="AB259" s="440">
        <v>0</v>
      </c>
      <c r="AC259" s="440">
        <v>0</v>
      </c>
      <c r="AD259" s="440">
        <v>0</v>
      </c>
      <c r="AE259" s="440">
        <v>0</v>
      </c>
      <c r="AF259" s="440">
        <v>30861.799999999996</v>
      </c>
    </row>
    <row r="260" spans="1:32">
      <c r="A260" s="346" t="s">
        <v>1777</v>
      </c>
      <c r="B260" s="346">
        <v>252</v>
      </c>
      <c r="C260" s="346"/>
      <c r="D260" s="346"/>
      <c r="E260" s="346"/>
      <c r="F260" s="346"/>
      <c r="G260" s="346" t="s">
        <v>1988</v>
      </c>
      <c r="H260" s="346" t="s">
        <v>1850</v>
      </c>
      <c r="I260" s="346" t="s">
        <v>1856</v>
      </c>
      <c r="J260" s="346" t="s">
        <v>1851</v>
      </c>
      <c r="K260" s="346" t="s">
        <v>1852</v>
      </c>
      <c r="L260" s="346" t="s">
        <v>1868</v>
      </c>
      <c r="M260" s="346" t="s">
        <v>1858</v>
      </c>
      <c r="N260" s="440">
        <v>0</v>
      </c>
      <c r="O260" s="440">
        <v>0</v>
      </c>
      <c r="P260" s="440">
        <v>0</v>
      </c>
      <c r="Q260" s="440">
        <v>0</v>
      </c>
      <c r="R260" s="440">
        <v>0</v>
      </c>
      <c r="S260" s="440">
        <v>0</v>
      </c>
      <c r="T260" s="440">
        <v>0</v>
      </c>
      <c r="U260" s="440">
        <v>0</v>
      </c>
      <c r="V260" s="440">
        <v>0</v>
      </c>
      <c r="W260" s="440">
        <v>0</v>
      </c>
      <c r="X260" s="440">
        <v>0</v>
      </c>
      <c r="Y260" s="440">
        <v>0</v>
      </c>
      <c r="Z260" s="440">
        <v>0</v>
      </c>
      <c r="AA260" s="440">
        <v>0</v>
      </c>
      <c r="AB260" s="440">
        <v>0</v>
      </c>
      <c r="AC260" s="440">
        <v>0</v>
      </c>
      <c r="AD260" s="440">
        <v>0</v>
      </c>
      <c r="AE260" s="440">
        <v>0</v>
      </c>
      <c r="AF260" s="440">
        <v>0</v>
      </c>
    </row>
    <row r="261" spans="1:32">
      <c r="A261" s="346" t="s">
        <v>1777</v>
      </c>
      <c r="B261" s="346">
        <v>253</v>
      </c>
      <c r="C261" s="346"/>
      <c r="D261" s="346"/>
      <c r="E261" s="346"/>
      <c r="F261" s="346"/>
      <c r="G261" s="346" t="s">
        <v>1989</v>
      </c>
      <c r="H261" s="346" t="s">
        <v>1907</v>
      </c>
      <c r="I261" s="346" t="s">
        <v>1881</v>
      </c>
      <c r="J261" s="346" t="s">
        <v>1990</v>
      </c>
      <c r="K261" s="346" t="s">
        <v>1991</v>
      </c>
      <c r="L261" s="346" t="s">
        <v>1864</v>
      </c>
      <c r="M261" s="346" t="s">
        <v>1992</v>
      </c>
      <c r="N261" s="440">
        <v>0</v>
      </c>
      <c r="O261" s="440">
        <v>47518.401999999987</v>
      </c>
      <c r="P261" s="440">
        <v>47518.401999999987</v>
      </c>
      <c r="Q261" s="440">
        <v>0</v>
      </c>
      <c r="R261" s="440">
        <v>0</v>
      </c>
      <c r="S261" s="440">
        <v>0</v>
      </c>
      <c r="T261" s="440">
        <v>0</v>
      </c>
      <c r="U261" s="440">
        <v>0</v>
      </c>
      <c r="V261" s="440">
        <v>0</v>
      </c>
      <c r="W261" s="440">
        <v>0</v>
      </c>
      <c r="X261" s="440">
        <v>0</v>
      </c>
      <c r="Y261" s="440">
        <v>0</v>
      </c>
      <c r="Z261" s="440">
        <v>0</v>
      </c>
      <c r="AA261" s="440">
        <v>0</v>
      </c>
      <c r="AB261" s="440">
        <v>0</v>
      </c>
      <c r="AC261" s="440">
        <v>0</v>
      </c>
      <c r="AD261" s="440">
        <v>0</v>
      </c>
      <c r="AE261" s="440">
        <v>0</v>
      </c>
      <c r="AF261" s="440">
        <v>0</v>
      </c>
    </row>
    <row r="262" spans="1:32">
      <c r="A262" s="346" t="s">
        <v>1777</v>
      </c>
      <c r="B262" s="346">
        <v>254</v>
      </c>
      <c r="C262" s="346"/>
      <c r="D262" s="346"/>
      <c r="E262" s="346"/>
      <c r="F262" s="346"/>
      <c r="G262" s="346" t="s">
        <v>1993</v>
      </c>
      <c r="H262" s="346" t="s">
        <v>461</v>
      </c>
      <c r="I262" s="346" t="s">
        <v>1994</v>
      </c>
      <c r="J262" s="346" t="s">
        <v>1887</v>
      </c>
      <c r="K262" s="346" t="s">
        <v>1852</v>
      </c>
      <c r="L262" s="346">
        <v>0</v>
      </c>
      <c r="M262" s="346">
        <v>0</v>
      </c>
      <c r="N262" s="440">
        <v>0</v>
      </c>
      <c r="O262" s="440">
        <v>323678.67300000001</v>
      </c>
      <c r="P262" s="440">
        <v>323678.67300000001</v>
      </c>
      <c r="Q262" s="440">
        <v>2732145.1100000003</v>
      </c>
      <c r="R262" s="440">
        <v>408714.29000000004</v>
      </c>
      <c r="S262" s="440">
        <v>45018.340000000004</v>
      </c>
      <c r="T262" s="440">
        <v>3185877.74</v>
      </c>
      <c r="U262" s="440">
        <v>2732145.1100000003</v>
      </c>
      <c r="V262" s="440">
        <v>0</v>
      </c>
      <c r="W262" s="440">
        <v>408714.29000000004</v>
      </c>
      <c r="X262" s="440">
        <v>0</v>
      </c>
      <c r="Y262" s="440">
        <v>0</v>
      </c>
      <c r="Z262" s="440">
        <v>0</v>
      </c>
      <c r="AA262" s="440">
        <v>0</v>
      </c>
      <c r="AB262" s="440">
        <v>0</v>
      </c>
      <c r="AC262" s="440">
        <v>0</v>
      </c>
      <c r="AD262" s="440">
        <v>45018.340000000004</v>
      </c>
      <c r="AE262" s="440">
        <v>0</v>
      </c>
      <c r="AF262" s="440">
        <v>3185877.74</v>
      </c>
    </row>
    <row r="263" spans="1:32">
      <c r="A263" s="346" t="s">
        <v>1777</v>
      </c>
      <c r="B263" s="346">
        <v>255</v>
      </c>
      <c r="C263" s="346"/>
      <c r="D263" s="346"/>
      <c r="E263" s="346"/>
      <c r="F263" s="346"/>
      <c r="G263" s="346" t="s">
        <v>1995</v>
      </c>
      <c r="H263" s="346" t="s">
        <v>1907</v>
      </c>
      <c r="I263" s="346" t="s">
        <v>1849</v>
      </c>
      <c r="J263" s="346" t="s">
        <v>1882</v>
      </c>
      <c r="K263" s="346">
        <v>87</v>
      </c>
      <c r="L263" s="346" t="s">
        <v>1864</v>
      </c>
      <c r="M263" s="346" t="s">
        <v>1889</v>
      </c>
      <c r="N263" s="440">
        <v>198</v>
      </c>
      <c r="O263" s="440">
        <v>0</v>
      </c>
      <c r="P263" s="440">
        <v>0</v>
      </c>
      <c r="Q263" s="440">
        <v>2655030</v>
      </c>
      <c r="R263" s="440">
        <v>1527305.4000000001</v>
      </c>
      <c r="S263" s="440">
        <v>0</v>
      </c>
      <c r="T263" s="440">
        <v>4182335.4000000004</v>
      </c>
      <c r="U263" s="440">
        <v>0</v>
      </c>
      <c r="V263" s="440">
        <v>2655030</v>
      </c>
      <c r="W263" s="440">
        <v>1527305.4000000001</v>
      </c>
      <c r="X263" s="440">
        <v>0</v>
      </c>
      <c r="Y263" s="440">
        <v>0</v>
      </c>
      <c r="Z263" s="440">
        <v>0</v>
      </c>
      <c r="AA263" s="440">
        <v>0</v>
      </c>
      <c r="AB263" s="440">
        <v>0</v>
      </c>
      <c r="AC263" s="440">
        <v>0</v>
      </c>
      <c r="AD263" s="440">
        <v>0</v>
      </c>
      <c r="AE263" s="440">
        <v>0</v>
      </c>
      <c r="AF263" s="440">
        <v>4182335.4000000004</v>
      </c>
    </row>
    <row r="264" spans="1:32">
      <c r="A264" s="346" t="s">
        <v>1777</v>
      </c>
      <c r="B264" s="346">
        <v>256</v>
      </c>
      <c r="C264" s="346"/>
      <c r="D264" s="346"/>
      <c r="E264" s="346"/>
      <c r="F264" s="346"/>
      <c r="G264" s="346" t="s">
        <v>1995</v>
      </c>
      <c r="H264" s="346" t="s">
        <v>461</v>
      </c>
      <c r="I264" s="346" t="s">
        <v>1886</v>
      </c>
      <c r="J264" s="346" t="s">
        <v>1882</v>
      </c>
      <c r="K264" s="346" t="s">
        <v>1996</v>
      </c>
      <c r="L264" s="346" t="s">
        <v>1864</v>
      </c>
      <c r="M264" s="346" t="s">
        <v>1992</v>
      </c>
      <c r="N264" s="440">
        <v>3</v>
      </c>
      <c r="O264" s="440">
        <v>19328</v>
      </c>
      <c r="P264" s="440">
        <v>19328</v>
      </c>
      <c r="Q264" s="440">
        <v>0</v>
      </c>
      <c r="R264" s="440">
        <v>0</v>
      </c>
      <c r="S264" s="440">
        <v>0</v>
      </c>
      <c r="T264" s="440">
        <v>0</v>
      </c>
      <c r="U264" s="440">
        <v>0</v>
      </c>
      <c r="V264" s="440">
        <v>0</v>
      </c>
      <c r="W264" s="440">
        <v>0</v>
      </c>
      <c r="X264" s="440">
        <v>0</v>
      </c>
      <c r="Y264" s="440">
        <v>0</v>
      </c>
      <c r="Z264" s="440">
        <v>0</v>
      </c>
      <c r="AA264" s="440">
        <v>0</v>
      </c>
      <c r="AB264" s="440">
        <v>0</v>
      </c>
      <c r="AC264" s="440">
        <v>0</v>
      </c>
      <c r="AD264" s="440">
        <v>0</v>
      </c>
      <c r="AE264" s="440">
        <v>0</v>
      </c>
      <c r="AF264" s="440">
        <v>0</v>
      </c>
    </row>
    <row r="265" spans="1:32">
      <c r="A265" s="346" t="s">
        <v>1777</v>
      </c>
      <c r="B265" s="346">
        <v>257</v>
      </c>
      <c r="C265" s="346"/>
      <c r="D265" s="346"/>
      <c r="E265" s="346"/>
      <c r="F265" s="346"/>
      <c r="G265" s="346" t="s">
        <v>1995</v>
      </c>
      <c r="H265" s="346" t="s">
        <v>461</v>
      </c>
      <c r="I265" s="346" t="s">
        <v>1997</v>
      </c>
      <c r="J265" s="346" t="s">
        <v>1882</v>
      </c>
      <c r="K265" s="346" t="s">
        <v>1996</v>
      </c>
      <c r="L265" s="346" t="s">
        <v>1864</v>
      </c>
      <c r="M265" s="346" t="s">
        <v>1998</v>
      </c>
      <c r="N265" s="440">
        <v>2</v>
      </c>
      <c r="O265" s="440">
        <v>4425</v>
      </c>
      <c r="P265" s="440">
        <v>4425</v>
      </c>
      <c r="Q265" s="440">
        <v>0</v>
      </c>
      <c r="R265" s="440">
        <v>0</v>
      </c>
      <c r="S265" s="440">
        <v>0</v>
      </c>
      <c r="T265" s="440">
        <v>0</v>
      </c>
      <c r="U265" s="440">
        <v>0</v>
      </c>
      <c r="V265" s="440">
        <v>0</v>
      </c>
      <c r="W265" s="440">
        <v>0</v>
      </c>
      <c r="X265" s="440">
        <v>0</v>
      </c>
      <c r="Y265" s="440">
        <v>0</v>
      </c>
      <c r="Z265" s="440">
        <v>0</v>
      </c>
      <c r="AA265" s="440">
        <v>0</v>
      </c>
      <c r="AB265" s="440">
        <v>0</v>
      </c>
      <c r="AC265" s="440">
        <v>0</v>
      </c>
      <c r="AD265" s="440">
        <v>0</v>
      </c>
      <c r="AE265" s="440">
        <v>0</v>
      </c>
      <c r="AF265" s="440">
        <v>0</v>
      </c>
    </row>
    <row r="266" spans="1:32">
      <c r="A266" s="346" t="s">
        <v>1777</v>
      </c>
      <c r="B266" s="346">
        <v>258</v>
      </c>
      <c r="C266" s="346"/>
      <c r="D266" s="346"/>
      <c r="E266" s="346"/>
      <c r="F266" s="346"/>
      <c r="G266" s="346" t="s">
        <v>1995</v>
      </c>
      <c r="H266" s="346" t="s">
        <v>461</v>
      </c>
      <c r="I266" s="346" t="s">
        <v>1994</v>
      </c>
      <c r="J266" s="346" t="s">
        <v>1882</v>
      </c>
      <c r="K266" s="346">
        <v>85</v>
      </c>
      <c r="L266" s="346" t="s">
        <v>1864</v>
      </c>
      <c r="M266" s="346" t="s">
        <v>1999</v>
      </c>
      <c r="N266" s="440">
        <v>3</v>
      </c>
      <c r="O266" s="440">
        <v>23048</v>
      </c>
      <c r="P266" s="440">
        <v>23048</v>
      </c>
      <c r="Q266" s="440">
        <v>0</v>
      </c>
      <c r="R266" s="440">
        <v>0</v>
      </c>
      <c r="S266" s="440">
        <v>0</v>
      </c>
      <c r="T266" s="440">
        <v>0</v>
      </c>
      <c r="U266" s="440">
        <v>0</v>
      </c>
      <c r="V266" s="440">
        <v>0</v>
      </c>
      <c r="W266" s="440">
        <v>0</v>
      </c>
      <c r="X266" s="440">
        <v>0</v>
      </c>
      <c r="Y266" s="440">
        <v>0</v>
      </c>
      <c r="Z266" s="440">
        <v>0</v>
      </c>
      <c r="AA266" s="440">
        <v>0</v>
      </c>
      <c r="AB266" s="440">
        <v>0</v>
      </c>
      <c r="AC266" s="440">
        <v>0</v>
      </c>
      <c r="AD266" s="440">
        <v>0</v>
      </c>
      <c r="AE266" s="440">
        <v>0</v>
      </c>
      <c r="AF266" s="440">
        <v>0</v>
      </c>
    </row>
    <row r="267" spans="1:32">
      <c r="A267" s="346" t="s">
        <v>1777</v>
      </c>
      <c r="B267" s="346">
        <v>259</v>
      </c>
      <c r="C267" s="346"/>
      <c r="D267" s="346"/>
      <c r="E267" s="346"/>
      <c r="F267" s="346"/>
      <c r="G267" s="346" t="s">
        <v>1995</v>
      </c>
      <c r="H267" s="346" t="s">
        <v>461</v>
      </c>
      <c r="I267" s="346" t="s">
        <v>2000</v>
      </c>
      <c r="J267" s="346" t="s">
        <v>1882</v>
      </c>
      <c r="K267" s="346" t="s">
        <v>1996</v>
      </c>
      <c r="L267" s="346" t="s">
        <v>1864</v>
      </c>
      <c r="M267" s="346" t="s">
        <v>2001</v>
      </c>
      <c r="N267" s="440">
        <v>35</v>
      </c>
      <c r="O267" s="440">
        <v>210292</v>
      </c>
      <c r="P267" s="440">
        <v>210292</v>
      </c>
      <c r="Q267" s="440">
        <v>0</v>
      </c>
      <c r="R267" s="440">
        <v>0</v>
      </c>
      <c r="S267" s="440">
        <v>0</v>
      </c>
      <c r="T267" s="440">
        <v>0</v>
      </c>
      <c r="U267" s="440">
        <v>0</v>
      </c>
      <c r="V267" s="440">
        <v>0</v>
      </c>
      <c r="W267" s="440">
        <v>0</v>
      </c>
      <c r="X267" s="440">
        <v>0</v>
      </c>
      <c r="Y267" s="440">
        <v>0</v>
      </c>
      <c r="Z267" s="440">
        <v>0</v>
      </c>
      <c r="AA267" s="440">
        <v>0</v>
      </c>
      <c r="AB267" s="440">
        <v>0</v>
      </c>
      <c r="AC267" s="440">
        <v>0</v>
      </c>
      <c r="AD267" s="440">
        <v>0</v>
      </c>
      <c r="AE267" s="440">
        <v>0</v>
      </c>
      <c r="AF267" s="440">
        <v>0</v>
      </c>
    </row>
    <row r="268" spans="1:32">
      <c r="A268" s="346" t="s">
        <v>1777</v>
      </c>
      <c r="B268" s="346">
        <v>260</v>
      </c>
      <c r="C268" s="346"/>
      <c r="D268" s="346"/>
      <c r="E268" s="346"/>
      <c r="F268" s="346"/>
      <c r="G268" s="346" t="s">
        <v>1995</v>
      </c>
      <c r="H268" s="346" t="s">
        <v>461</v>
      </c>
      <c r="I268" s="346" t="s">
        <v>2002</v>
      </c>
      <c r="J268" s="346" t="s">
        <v>1882</v>
      </c>
      <c r="K268" s="346" t="s">
        <v>1996</v>
      </c>
      <c r="L268" s="346" t="s">
        <v>1864</v>
      </c>
      <c r="M268" s="346" t="s">
        <v>1868</v>
      </c>
      <c r="N268" s="440">
        <v>1</v>
      </c>
      <c r="O268" s="440">
        <v>16520</v>
      </c>
      <c r="P268" s="440">
        <v>16520</v>
      </c>
      <c r="Q268" s="440">
        <v>0</v>
      </c>
      <c r="R268" s="440">
        <v>0</v>
      </c>
      <c r="S268" s="440">
        <v>0</v>
      </c>
      <c r="T268" s="440">
        <v>0</v>
      </c>
      <c r="U268" s="440">
        <v>0</v>
      </c>
      <c r="V268" s="440">
        <v>0</v>
      </c>
      <c r="W268" s="440">
        <v>0</v>
      </c>
      <c r="X268" s="440">
        <v>0</v>
      </c>
      <c r="Y268" s="440">
        <v>0</v>
      </c>
      <c r="Z268" s="440">
        <v>0</v>
      </c>
      <c r="AA268" s="440">
        <v>0</v>
      </c>
      <c r="AB268" s="440">
        <v>0</v>
      </c>
      <c r="AC268" s="440">
        <v>0</v>
      </c>
      <c r="AD268" s="440">
        <v>0</v>
      </c>
      <c r="AE268" s="440">
        <v>0</v>
      </c>
      <c r="AF268" s="440">
        <v>0</v>
      </c>
    </row>
    <row r="269" spans="1:32">
      <c r="A269" s="346" t="s">
        <v>1777</v>
      </c>
      <c r="B269" s="346">
        <v>261</v>
      </c>
      <c r="C269" s="346"/>
      <c r="D269" s="346"/>
      <c r="E269" s="346"/>
      <c r="F269" s="346"/>
      <c r="G269" s="346" t="s">
        <v>1995</v>
      </c>
      <c r="H269" s="346" t="s">
        <v>461</v>
      </c>
      <c r="I269" s="346" t="s">
        <v>2003</v>
      </c>
      <c r="J269" s="346" t="s">
        <v>1882</v>
      </c>
      <c r="K269" s="346">
        <v>87</v>
      </c>
      <c r="L269" s="346" t="s">
        <v>1864</v>
      </c>
      <c r="M269" s="346" t="s">
        <v>2004</v>
      </c>
      <c r="N269" s="440">
        <v>35</v>
      </c>
      <c r="O269" s="440">
        <v>435198</v>
      </c>
      <c r="P269" s="440">
        <v>435198</v>
      </c>
      <c r="Q269" s="440">
        <v>0</v>
      </c>
      <c r="R269" s="440">
        <v>0</v>
      </c>
      <c r="S269" s="440">
        <v>0</v>
      </c>
      <c r="T269" s="440">
        <v>0</v>
      </c>
      <c r="U269" s="440">
        <v>0</v>
      </c>
      <c r="V269" s="440">
        <v>0</v>
      </c>
      <c r="W269" s="440">
        <v>0</v>
      </c>
      <c r="X269" s="440">
        <v>0</v>
      </c>
      <c r="Y269" s="440">
        <v>0</v>
      </c>
      <c r="Z269" s="440">
        <v>0</v>
      </c>
      <c r="AA269" s="440">
        <v>0</v>
      </c>
      <c r="AB269" s="440">
        <v>0</v>
      </c>
      <c r="AC269" s="440">
        <v>0</v>
      </c>
      <c r="AD269" s="440">
        <v>0</v>
      </c>
      <c r="AE269" s="440">
        <v>0</v>
      </c>
      <c r="AF269" s="440">
        <v>0</v>
      </c>
    </row>
    <row r="270" spans="1:32">
      <c r="A270" s="346" t="s">
        <v>1777</v>
      </c>
      <c r="B270" s="346">
        <v>262</v>
      </c>
      <c r="C270" s="346"/>
      <c r="D270" s="346"/>
      <c r="E270" s="346"/>
      <c r="F270" s="346"/>
      <c r="G270" s="346" t="s">
        <v>2005</v>
      </c>
      <c r="H270" s="346" t="s">
        <v>1850</v>
      </c>
      <c r="I270" s="346" t="s">
        <v>1849</v>
      </c>
      <c r="J270" s="346" t="s">
        <v>1851</v>
      </c>
      <c r="K270" s="346" t="s">
        <v>1852</v>
      </c>
      <c r="L270" s="346" t="s">
        <v>1854</v>
      </c>
      <c r="M270" s="346" t="s">
        <v>1853</v>
      </c>
      <c r="N270" s="440">
        <v>0</v>
      </c>
      <c r="O270" s="440">
        <v>1601</v>
      </c>
      <c r="P270" s="440">
        <v>1601</v>
      </c>
      <c r="Q270" s="440">
        <v>14473.979999999998</v>
      </c>
      <c r="R270" s="440">
        <v>2478.33</v>
      </c>
      <c r="S270" s="440">
        <v>0</v>
      </c>
      <c r="T270" s="440">
        <v>16952.309999999998</v>
      </c>
      <c r="U270" s="440">
        <v>0</v>
      </c>
      <c r="V270" s="440">
        <v>0</v>
      </c>
      <c r="W270" s="440">
        <v>2478.33</v>
      </c>
      <c r="X270" s="440">
        <v>84.22</v>
      </c>
      <c r="Y270" s="440">
        <v>0</v>
      </c>
      <c r="Z270" s="440">
        <v>0</v>
      </c>
      <c r="AA270" s="440">
        <v>14389.759999999998</v>
      </c>
      <c r="AB270" s="440">
        <v>0</v>
      </c>
      <c r="AC270" s="440">
        <v>0</v>
      </c>
      <c r="AD270" s="440">
        <v>0</v>
      </c>
      <c r="AE270" s="440">
        <v>0</v>
      </c>
      <c r="AF270" s="440">
        <v>16952.309999999998</v>
      </c>
    </row>
    <row r="271" spans="1:32">
      <c r="A271" s="346" t="s">
        <v>1777</v>
      </c>
      <c r="B271" s="346">
        <v>263</v>
      </c>
      <c r="C271" s="346"/>
      <c r="D271" s="346"/>
      <c r="E271" s="346"/>
      <c r="F271" s="346"/>
      <c r="G271" s="346" t="s">
        <v>2006</v>
      </c>
      <c r="H271" s="346">
        <v>0</v>
      </c>
      <c r="I271" s="346">
        <v>0</v>
      </c>
      <c r="J271" s="346" t="s">
        <v>1990</v>
      </c>
      <c r="K271" s="346">
        <v>0</v>
      </c>
      <c r="L271" s="346">
        <v>0</v>
      </c>
      <c r="M271" s="346">
        <v>0</v>
      </c>
      <c r="N271" s="440">
        <v>0</v>
      </c>
      <c r="O271" s="440">
        <v>0</v>
      </c>
      <c r="P271" s="440">
        <v>0</v>
      </c>
      <c r="Q271" s="440">
        <v>0</v>
      </c>
      <c r="R271" s="440">
        <v>0</v>
      </c>
      <c r="S271" s="440">
        <v>8263530.3200000003</v>
      </c>
      <c r="T271" s="440">
        <v>8263530.3200000003</v>
      </c>
      <c r="U271" s="440">
        <v>0</v>
      </c>
      <c r="V271" s="440">
        <v>0</v>
      </c>
      <c r="W271" s="440">
        <v>0</v>
      </c>
      <c r="X271" s="440">
        <v>0</v>
      </c>
      <c r="Y271" s="440">
        <v>0</v>
      </c>
      <c r="Z271" s="440">
        <v>0</v>
      </c>
      <c r="AA271" s="440">
        <v>0</v>
      </c>
      <c r="AB271" s="440">
        <v>0</v>
      </c>
      <c r="AC271" s="440">
        <v>0</v>
      </c>
      <c r="AD271" s="440">
        <v>8263530.3200000003</v>
      </c>
      <c r="AE271" s="440">
        <v>0</v>
      </c>
      <c r="AF271" s="440">
        <v>8263530.3200000003</v>
      </c>
    </row>
    <row r="272" spans="1:32">
      <c r="A272" s="346" t="s">
        <v>1777</v>
      </c>
      <c r="B272" s="346">
        <v>264</v>
      </c>
      <c r="C272" s="346"/>
      <c r="D272" s="346"/>
      <c r="E272" s="346"/>
      <c r="F272" s="346"/>
      <c r="G272" s="346" t="s">
        <v>2007</v>
      </c>
      <c r="H272" s="346">
        <v>0</v>
      </c>
      <c r="I272" s="346">
        <v>0</v>
      </c>
      <c r="J272" s="346" t="s">
        <v>2008</v>
      </c>
      <c r="K272" s="346">
        <v>0</v>
      </c>
      <c r="L272" s="346">
        <v>0</v>
      </c>
      <c r="M272" s="346">
        <v>0</v>
      </c>
      <c r="N272" s="440">
        <v>0</v>
      </c>
      <c r="O272" s="440">
        <v>0</v>
      </c>
      <c r="P272" s="440">
        <v>0</v>
      </c>
      <c r="Q272" s="440">
        <v>0</v>
      </c>
      <c r="R272" s="440">
        <v>0</v>
      </c>
      <c r="S272" s="440">
        <v>-842713.38</v>
      </c>
      <c r="T272" s="440">
        <v>-842713.38</v>
      </c>
      <c r="U272" s="440">
        <v>0</v>
      </c>
      <c r="V272" s="440">
        <v>0</v>
      </c>
      <c r="W272" s="440">
        <v>0</v>
      </c>
      <c r="X272" s="440">
        <v>0</v>
      </c>
      <c r="Y272" s="440">
        <v>0</v>
      </c>
      <c r="Z272" s="440">
        <v>0</v>
      </c>
      <c r="AA272" s="440">
        <v>0</v>
      </c>
      <c r="AB272" s="440">
        <v>0</v>
      </c>
      <c r="AC272" s="440">
        <v>0</v>
      </c>
      <c r="AD272" s="440">
        <v>-842713.38</v>
      </c>
      <c r="AE272" s="440">
        <v>0</v>
      </c>
      <c r="AF272" s="440">
        <v>-842713.38</v>
      </c>
    </row>
    <row r="273" spans="1:32">
      <c r="A273" s="346" t="s">
        <v>1777</v>
      </c>
      <c r="B273" s="346">
        <v>266</v>
      </c>
      <c r="C273" s="346"/>
      <c r="D273" s="346"/>
      <c r="E273" s="346"/>
      <c r="F273" s="346"/>
      <c r="G273" s="346" t="s">
        <v>2009</v>
      </c>
      <c r="H273" s="346">
        <v>0</v>
      </c>
      <c r="I273" s="346">
        <v>0</v>
      </c>
      <c r="J273" s="346" t="s">
        <v>2008</v>
      </c>
      <c r="K273" s="346">
        <v>0</v>
      </c>
      <c r="L273" s="346">
        <v>0</v>
      </c>
      <c r="M273" s="346">
        <v>0</v>
      </c>
      <c r="N273" s="440">
        <v>0</v>
      </c>
      <c r="O273" s="440">
        <v>0</v>
      </c>
      <c r="P273" s="440">
        <v>0</v>
      </c>
      <c r="Q273" s="440">
        <v>0</v>
      </c>
      <c r="R273" s="440">
        <v>0</v>
      </c>
      <c r="S273" s="440">
        <v>-246217.92</v>
      </c>
      <c r="T273" s="440">
        <v>-246217.92</v>
      </c>
      <c r="U273" s="440">
        <v>0</v>
      </c>
      <c r="V273" s="440">
        <v>0</v>
      </c>
      <c r="W273" s="440">
        <v>0</v>
      </c>
      <c r="X273" s="440">
        <v>0</v>
      </c>
      <c r="Y273" s="440">
        <v>0</v>
      </c>
      <c r="Z273" s="440">
        <v>0</v>
      </c>
      <c r="AA273" s="440">
        <v>0</v>
      </c>
      <c r="AB273" s="440">
        <v>0</v>
      </c>
      <c r="AC273" s="440">
        <v>0</v>
      </c>
      <c r="AD273" s="440">
        <v>-246217.92</v>
      </c>
      <c r="AE273" s="440">
        <v>0</v>
      </c>
      <c r="AF273" s="440">
        <v>-246217.92</v>
      </c>
    </row>
    <row r="274" spans="1:32">
      <c r="A274" s="346" t="s">
        <v>1777</v>
      </c>
      <c r="B274" s="346">
        <v>267</v>
      </c>
      <c r="C274" s="346"/>
      <c r="D274" s="346"/>
      <c r="E274" s="346"/>
      <c r="F274" s="346"/>
      <c r="G274" s="346" t="s">
        <v>2010</v>
      </c>
      <c r="H274" s="346">
        <v>0</v>
      </c>
      <c r="I274" s="346">
        <v>0</v>
      </c>
      <c r="J274" s="346" t="s">
        <v>2008</v>
      </c>
      <c r="K274" s="346">
        <v>0</v>
      </c>
      <c r="L274" s="346">
        <v>0</v>
      </c>
      <c r="M274" s="346">
        <v>0</v>
      </c>
      <c r="N274" s="440">
        <v>0</v>
      </c>
      <c r="O274" s="440">
        <v>0</v>
      </c>
      <c r="P274" s="440">
        <v>0</v>
      </c>
      <c r="Q274" s="440">
        <v>0</v>
      </c>
      <c r="R274" s="440">
        <v>0</v>
      </c>
      <c r="S274" s="440">
        <v>-101</v>
      </c>
      <c r="T274" s="440">
        <v>-101</v>
      </c>
      <c r="U274" s="440">
        <v>0</v>
      </c>
      <c r="V274" s="440">
        <v>0</v>
      </c>
      <c r="W274" s="440">
        <v>0</v>
      </c>
      <c r="X274" s="440">
        <v>0</v>
      </c>
      <c r="Y274" s="440">
        <v>0</v>
      </c>
      <c r="Z274" s="440">
        <v>0</v>
      </c>
      <c r="AA274" s="440">
        <v>0</v>
      </c>
      <c r="AB274" s="440">
        <v>0</v>
      </c>
      <c r="AC274" s="440">
        <v>0</v>
      </c>
      <c r="AD274" s="440">
        <v>-36923.139999985695</v>
      </c>
      <c r="AE274" s="440">
        <v>0</v>
      </c>
      <c r="AF274" s="440">
        <v>-36923.139999985695</v>
      </c>
    </row>
    <row r="275" spans="1:32" ht="15.75" thickBot="1">
      <c r="U275" s="141">
        <f t="shared" ref="U275:AE275" si="0">SUM(U9:U274)</f>
        <v>111390586.80333334</v>
      </c>
      <c r="V275" s="141">
        <f t="shared" si="0"/>
        <v>2712918</v>
      </c>
      <c r="W275" s="141">
        <f t="shared" si="0"/>
        <v>12171064.024990004</v>
      </c>
      <c r="X275" s="141">
        <f t="shared" si="0"/>
        <v>921554.00000000081</v>
      </c>
      <c r="Y275" s="141">
        <f t="shared" si="0"/>
        <v>0</v>
      </c>
      <c r="Z275" s="141">
        <f t="shared" si="0"/>
        <v>2403156.4499999993</v>
      </c>
      <c r="AA275" s="141">
        <f t="shared" si="0"/>
        <v>4143038.9299999983</v>
      </c>
      <c r="AB275" s="141">
        <f t="shared" si="0"/>
        <v>0</v>
      </c>
      <c r="AC275" s="141">
        <f t="shared" si="0"/>
        <v>0</v>
      </c>
      <c r="AD275" s="141">
        <f t="shared" si="0"/>
        <v>7315709.7870000144</v>
      </c>
      <c r="AE275" s="141">
        <f t="shared" si="0"/>
        <v>0</v>
      </c>
      <c r="AF275" s="141">
        <f>SUM(U275:AE275)</f>
        <v>141058027.99532336</v>
      </c>
    </row>
    <row r="276" spans="1:32" ht="13.5" thickTop="1">
      <c r="U276" s="232"/>
      <c r="Z276" s="227" t="s">
        <v>617</v>
      </c>
      <c r="AB276" s="227" t="s">
        <v>617</v>
      </c>
      <c r="AF276" s="231"/>
    </row>
    <row r="277" spans="1:32" ht="13.5" thickBot="1">
      <c r="U277" s="233"/>
      <c r="V277" s="234"/>
      <c r="W277" s="234"/>
      <c r="X277" s="234"/>
      <c r="Y277" s="234"/>
      <c r="Z277" s="234"/>
      <c r="AA277" s="105"/>
      <c r="AB277" s="234"/>
      <c r="AC277" s="234"/>
      <c r="AD277" s="234"/>
      <c r="AE277" s="234"/>
      <c r="AF277" s="235"/>
    </row>
    <row r="278" spans="1:32">
      <c r="U278" s="243"/>
      <c r="V278" s="229"/>
      <c r="W278" s="229"/>
      <c r="X278" s="229"/>
      <c r="Y278" s="229"/>
      <c r="Z278" s="229" t="s">
        <v>617</v>
      </c>
      <c r="AA278" s="308"/>
      <c r="AB278" s="229" t="s">
        <v>709</v>
      </c>
      <c r="AC278" s="229"/>
      <c r="AD278" s="229"/>
      <c r="AE278" s="229"/>
      <c r="AF278" s="230"/>
    </row>
    <row r="279" spans="1:32">
      <c r="U279" s="232"/>
      <c r="Z279" s="227" t="s">
        <v>617</v>
      </c>
      <c r="AA279" s="269">
        <f>AA275-AA278</f>
        <v>4143038.9299999983</v>
      </c>
      <c r="AB279" s="227" t="s">
        <v>710</v>
      </c>
      <c r="AF279" s="231"/>
    </row>
    <row r="280" spans="1:32" ht="13.5" thickBot="1">
      <c r="U280" s="233"/>
      <c r="V280" s="234"/>
      <c r="W280" s="234"/>
      <c r="X280" s="234"/>
      <c r="Y280" s="234"/>
      <c r="Z280" s="234"/>
      <c r="AA280" s="234"/>
      <c r="AB280" s="234"/>
      <c r="AC280" s="234"/>
      <c r="AD280" s="234"/>
      <c r="AE280" s="234"/>
      <c r="AF280" s="235"/>
    </row>
  </sheetData>
  <printOptions horizontalCentered="1"/>
  <pageMargins left="0.25" right="0.25" top="0.75" bottom="0.75" header="0.5" footer="0.5"/>
  <pageSetup scale="28" fitToHeight="3" orientation="landscape" r:id="rId1"/>
  <rowBreaks count="1" manualBreakCount="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56"/>
  <sheetViews>
    <sheetView workbookViewId="0">
      <selection activeCell="O22" sqref="O22"/>
    </sheetView>
  </sheetViews>
  <sheetFormatPr defaultColWidth="8.85546875" defaultRowHeight="15"/>
  <cols>
    <col min="2" max="2" width="2.85546875" customWidth="1"/>
    <col min="3" max="3" width="5.7109375" customWidth="1"/>
    <col min="4" max="4" width="71.140625" customWidth="1"/>
    <col min="5" max="5" width="13.42578125" customWidth="1"/>
    <col min="6" max="6" width="38.42578125" customWidth="1"/>
    <col min="7" max="7" width="1.42578125" customWidth="1"/>
    <col min="8" max="8" width="25.28515625" style="3" bestFit="1" customWidth="1"/>
    <col min="9" max="9" width="1.7109375" customWidth="1"/>
  </cols>
  <sheetData>
    <row r="1" spans="1:9">
      <c r="A1" s="1" t="s">
        <v>0</v>
      </c>
      <c r="C1" s="1"/>
    </row>
    <row r="2" spans="1:9">
      <c r="A2" s="1" t="s">
        <v>723</v>
      </c>
      <c r="C2" s="1"/>
    </row>
    <row r="3" spans="1:9">
      <c r="A3" s="1"/>
      <c r="C3" s="1"/>
    </row>
    <row r="4" spans="1:9">
      <c r="A4" s="225" t="s">
        <v>6</v>
      </c>
      <c r="B4" s="226"/>
      <c r="C4" s="225"/>
      <c r="D4" s="226"/>
      <c r="H4" s="242" t="s">
        <v>1360</v>
      </c>
    </row>
    <row r="5" spans="1:9">
      <c r="A5" s="1" t="s">
        <v>98</v>
      </c>
      <c r="D5" s="1" t="s">
        <v>4</v>
      </c>
      <c r="E5" s="4" t="s">
        <v>5</v>
      </c>
      <c r="F5" s="223" t="s">
        <v>63</v>
      </c>
      <c r="G5" s="1"/>
      <c r="H5" s="221" t="s">
        <v>1831</v>
      </c>
    </row>
    <row r="6" spans="1:9">
      <c r="A6" s="1"/>
      <c r="D6" s="1"/>
      <c r="E6" s="4"/>
      <c r="F6" s="223"/>
      <c r="G6" s="1"/>
      <c r="H6" s="221"/>
    </row>
    <row r="7" spans="1:9" ht="15.75" thickBot="1">
      <c r="D7" s="1"/>
      <c r="E7" s="1"/>
      <c r="F7" s="1"/>
      <c r="G7" s="1"/>
      <c r="H7" s="221"/>
    </row>
    <row r="8" spans="1:9" ht="15.75" thickBot="1">
      <c r="B8" s="218" t="s">
        <v>52</v>
      </c>
      <c r="C8" s="219"/>
      <c r="D8" s="2"/>
      <c r="E8" s="2"/>
      <c r="F8" s="2"/>
      <c r="G8" s="2"/>
      <c r="H8" s="337"/>
      <c r="I8" s="337"/>
    </row>
    <row r="9" spans="1:9">
      <c r="D9" s="1"/>
      <c r="E9" s="1"/>
      <c r="F9" s="1"/>
      <c r="G9" s="1"/>
      <c r="H9" s="221"/>
    </row>
    <row r="10" spans="1:9">
      <c r="A10" s="86">
        <v>1</v>
      </c>
      <c r="B10" s="86"/>
      <c r="C10" s="1" t="s">
        <v>51</v>
      </c>
      <c r="D10" s="1"/>
      <c r="E10" s="1"/>
      <c r="F10" s="1"/>
      <c r="G10" s="1"/>
      <c r="H10" s="222"/>
    </row>
    <row r="11" spans="1:9">
      <c r="A11" s="86">
        <f>+A10+1</f>
        <v>2</v>
      </c>
      <c r="B11" s="86"/>
      <c r="D11" t="s">
        <v>656</v>
      </c>
      <c r="E11" s="1"/>
      <c r="F11" t="s">
        <v>999</v>
      </c>
      <c r="G11" s="1"/>
      <c r="H11" s="253">
        <f>+'Schedule 3 - Transmission Wages'!F10</f>
        <v>5895661.9503768058</v>
      </c>
    </row>
    <row r="12" spans="1:9">
      <c r="A12" s="86">
        <f t="shared" ref="A12:A75" si="0">+A11+1</f>
        <v>3</v>
      </c>
      <c r="B12" s="86"/>
      <c r="E12" s="1"/>
      <c r="F12" s="1"/>
      <c r="G12" s="1"/>
      <c r="H12" s="253"/>
    </row>
    <row r="13" spans="1:9">
      <c r="A13" s="86">
        <f t="shared" si="0"/>
        <v>4</v>
      </c>
      <c r="B13" s="86"/>
      <c r="D13" t="s">
        <v>53</v>
      </c>
      <c r="E13" s="1"/>
      <c r="F13" t="s">
        <v>57</v>
      </c>
      <c r="G13" s="1"/>
      <c r="H13" s="253">
        <f>+'FERC Form 1 Inputs'!L55</f>
        <v>127999987</v>
      </c>
    </row>
    <row r="14" spans="1:9">
      <c r="A14" s="86">
        <f t="shared" si="0"/>
        <v>5</v>
      </c>
      <c r="B14" s="86"/>
      <c r="D14" s="224" t="s">
        <v>54</v>
      </c>
      <c r="E14" s="1"/>
      <c r="F14" t="s">
        <v>58</v>
      </c>
      <c r="G14" s="1"/>
      <c r="H14" s="254">
        <f>+'FERC Form 1 Inputs'!L54</f>
        <v>51288278</v>
      </c>
    </row>
    <row r="15" spans="1:9">
      <c r="A15" s="86">
        <f t="shared" si="0"/>
        <v>6</v>
      </c>
      <c r="B15" s="86"/>
      <c r="D15" s="1" t="s">
        <v>55</v>
      </c>
      <c r="E15" s="1"/>
      <c r="F15" t="s">
        <v>575</v>
      </c>
      <c r="G15" s="1"/>
      <c r="H15" s="253">
        <f>+H13-H14</f>
        <v>76711709</v>
      </c>
    </row>
    <row r="16" spans="1:9">
      <c r="A16" s="86">
        <f t="shared" si="0"/>
        <v>7</v>
      </c>
      <c r="B16" s="86"/>
      <c r="D16" s="1"/>
      <c r="E16" s="1"/>
      <c r="G16" s="1"/>
      <c r="H16" s="253"/>
    </row>
    <row r="17" spans="1:9" ht="15.75" thickBot="1">
      <c r="A17" s="86">
        <f t="shared" si="0"/>
        <v>8</v>
      </c>
      <c r="B17" s="86"/>
      <c r="C17" s="1" t="s">
        <v>59</v>
      </c>
      <c r="D17" s="1"/>
      <c r="E17" s="1"/>
      <c r="F17" t="s">
        <v>576</v>
      </c>
      <c r="G17" s="1"/>
      <c r="H17" s="255">
        <f>ROUND(+H11/H15,4)</f>
        <v>7.6899999999999996E-2</v>
      </c>
    </row>
    <row r="18" spans="1:9" ht="15.75" thickTop="1">
      <c r="A18" s="86">
        <f t="shared" si="0"/>
        <v>9</v>
      </c>
      <c r="B18" s="86"/>
      <c r="D18" s="1"/>
      <c r="E18" s="1"/>
      <c r="F18" s="1"/>
      <c r="G18" s="1"/>
      <c r="H18" s="253"/>
    </row>
    <row r="19" spans="1:9">
      <c r="A19" s="86">
        <f t="shared" si="0"/>
        <v>10</v>
      </c>
      <c r="B19" s="86"/>
      <c r="C19" s="1" t="s">
        <v>60</v>
      </c>
      <c r="D19" s="1"/>
      <c r="E19" s="1"/>
      <c r="F19" s="1"/>
      <c r="G19" s="1"/>
      <c r="H19" s="253"/>
    </row>
    <row r="20" spans="1:9">
      <c r="A20" s="86">
        <f t="shared" si="0"/>
        <v>11</v>
      </c>
      <c r="B20" s="86"/>
      <c r="D20" t="s">
        <v>61</v>
      </c>
      <c r="E20" s="1" t="s">
        <v>106</v>
      </c>
      <c r="F20" t="s">
        <v>9</v>
      </c>
      <c r="G20" s="1"/>
      <c r="H20" s="253">
        <f>+'Schedule 1 - Plant'!P91</f>
        <v>5933956968.9794579</v>
      </c>
    </row>
    <row r="21" spans="1:9">
      <c r="A21" s="86">
        <f t="shared" si="0"/>
        <v>12</v>
      </c>
      <c r="B21" s="86"/>
      <c r="D21" t="s">
        <v>849</v>
      </c>
      <c r="E21" s="1" t="s">
        <v>106</v>
      </c>
      <c r="F21" t="s">
        <v>9</v>
      </c>
      <c r="G21" s="1"/>
      <c r="H21" s="254">
        <f>+'Schedule 1 - Plant'!P183</f>
        <v>2189813011.3562489</v>
      </c>
    </row>
    <row r="22" spans="1:9">
      <c r="A22" s="86">
        <f t="shared" si="0"/>
        <v>13</v>
      </c>
      <c r="B22" s="86"/>
      <c r="D22" t="s">
        <v>62</v>
      </c>
      <c r="E22" s="1"/>
      <c r="F22" t="s">
        <v>574</v>
      </c>
      <c r="G22" s="1"/>
      <c r="H22" s="253">
        <f>+H20-H21</f>
        <v>3744143957.623209</v>
      </c>
    </row>
    <row r="23" spans="1:9">
      <c r="A23" s="86">
        <f t="shared" si="0"/>
        <v>14</v>
      </c>
      <c r="B23" s="86"/>
      <c r="D23" s="1"/>
      <c r="E23" s="1"/>
      <c r="F23" s="1"/>
      <c r="G23" s="1"/>
      <c r="H23" s="253"/>
    </row>
    <row r="24" spans="1:9">
      <c r="A24" s="86">
        <f t="shared" si="0"/>
        <v>15</v>
      </c>
      <c r="B24" s="86"/>
      <c r="D24" t="s">
        <v>67</v>
      </c>
      <c r="E24" s="1" t="s">
        <v>106</v>
      </c>
      <c r="F24" t="s">
        <v>572</v>
      </c>
      <c r="G24" s="1"/>
      <c r="H24" s="253">
        <f>+H43</f>
        <v>1570209912.5075591</v>
      </c>
    </row>
    <row r="25" spans="1:9" ht="15.75" thickBot="1">
      <c r="A25" s="86">
        <f t="shared" si="0"/>
        <v>16</v>
      </c>
      <c r="B25" s="86"/>
      <c r="C25" s="1" t="s">
        <v>68</v>
      </c>
      <c r="D25" s="1"/>
      <c r="E25" s="1"/>
      <c r="F25" t="s">
        <v>850</v>
      </c>
      <c r="G25" s="1"/>
      <c r="H25" s="255">
        <f>ROUND(+H24/H20,4)</f>
        <v>0.2646</v>
      </c>
    </row>
    <row r="26" spans="1:9" ht="15.75" thickTop="1">
      <c r="A26" s="86">
        <f t="shared" si="0"/>
        <v>17</v>
      </c>
      <c r="B26" s="86"/>
      <c r="D26" s="1"/>
      <c r="E26" s="1"/>
      <c r="F26" s="1"/>
      <c r="G26" s="1"/>
      <c r="H26" s="253"/>
    </row>
    <row r="27" spans="1:9">
      <c r="A27" s="86">
        <f t="shared" si="0"/>
        <v>18</v>
      </c>
      <c r="B27" s="86"/>
      <c r="D27" t="s">
        <v>69</v>
      </c>
      <c r="E27" s="1"/>
      <c r="F27" t="s">
        <v>573</v>
      </c>
      <c r="G27" s="1"/>
      <c r="H27" s="253">
        <f>+H58</f>
        <v>1111438496.2917068</v>
      </c>
    </row>
    <row r="28" spans="1:9" ht="15.75" thickBot="1">
      <c r="A28" s="86">
        <f t="shared" si="0"/>
        <v>19</v>
      </c>
      <c r="B28" s="86"/>
      <c r="C28" s="1" t="s">
        <v>70</v>
      </c>
      <c r="D28" s="1"/>
      <c r="E28" s="1"/>
      <c r="F28" t="s">
        <v>851</v>
      </c>
      <c r="G28" s="1"/>
      <c r="H28" s="255">
        <f>ROUND(+H27/H22,4)</f>
        <v>0.29680000000000001</v>
      </c>
    </row>
    <row r="29" spans="1:9" ht="16.5" thickTop="1" thickBot="1">
      <c r="A29" s="86">
        <f t="shared" si="0"/>
        <v>20</v>
      </c>
      <c r="H29" s="265"/>
      <c r="I29" s="265"/>
    </row>
    <row r="30" spans="1:9" ht="15.75" thickBot="1">
      <c r="A30" s="86">
        <f t="shared" si="0"/>
        <v>21</v>
      </c>
      <c r="B30" s="218" t="s">
        <v>7</v>
      </c>
      <c r="C30" s="218"/>
      <c r="D30" s="2"/>
      <c r="E30" s="2"/>
      <c r="F30" s="2"/>
      <c r="G30" s="2"/>
      <c r="H30" s="338"/>
      <c r="I30" s="338"/>
    </row>
    <row r="31" spans="1:9">
      <c r="A31" s="86">
        <f t="shared" si="0"/>
        <v>22</v>
      </c>
      <c r="H31" s="256"/>
    </row>
    <row r="32" spans="1:9">
      <c r="A32" s="86">
        <f t="shared" si="0"/>
        <v>23</v>
      </c>
      <c r="B32" s="86"/>
      <c r="C32" s="1" t="s">
        <v>1</v>
      </c>
      <c r="H32" s="256"/>
    </row>
    <row r="33" spans="1:8">
      <c r="A33" s="86">
        <f t="shared" si="0"/>
        <v>24</v>
      </c>
      <c r="B33" s="86"/>
      <c r="D33" s="220" t="s">
        <v>2</v>
      </c>
      <c r="E33" t="s">
        <v>106</v>
      </c>
      <c r="F33" t="s">
        <v>9</v>
      </c>
      <c r="H33" s="254">
        <f>+'Schedule 1 - Plant'!P20</f>
        <v>1515270940.1409955</v>
      </c>
    </row>
    <row r="34" spans="1:8">
      <c r="A34" s="86">
        <f t="shared" si="0"/>
        <v>25</v>
      </c>
      <c r="B34" s="86"/>
      <c r="D34" s="1" t="s">
        <v>3</v>
      </c>
      <c r="H34" s="256">
        <f>+H33</f>
        <v>1515270940.1409955</v>
      </c>
    </row>
    <row r="35" spans="1:8">
      <c r="A35" s="86">
        <f t="shared" si="0"/>
        <v>26</v>
      </c>
      <c r="B35" s="86"/>
      <c r="H35" s="256"/>
    </row>
    <row r="36" spans="1:8">
      <c r="A36" s="86">
        <f t="shared" si="0"/>
        <v>27</v>
      </c>
      <c r="B36" s="86"/>
      <c r="H36" s="256"/>
    </row>
    <row r="37" spans="1:8">
      <c r="A37" s="86">
        <f t="shared" si="0"/>
        <v>28</v>
      </c>
      <c r="B37" s="86"/>
      <c r="D37" s="220" t="s">
        <v>29</v>
      </c>
      <c r="E37" t="s">
        <v>106</v>
      </c>
      <c r="F37" t="s">
        <v>9</v>
      </c>
      <c r="H37" s="253">
        <f>+'Schedule 1 - Plant'!P93</f>
        <v>269959332.83538467</v>
      </c>
    </row>
    <row r="38" spans="1:8">
      <c r="A38" s="86">
        <f t="shared" si="0"/>
        <v>29</v>
      </c>
      <c r="B38" s="86"/>
      <c r="D38" t="s">
        <v>51</v>
      </c>
      <c r="F38" t="s">
        <v>65</v>
      </c>
      <c r="H38" s="257">
        <f>+H17</f>
        <v>7.6899999999999996E-2</v>
      </c>
    </row>
    <row r="39" spans="1:8">
      <c r="A39" s="86">
        <f t="shared" si="0"/>
        <v>30</v>
      </c>
      <c r="B39" s="86"/>
      <c r="D39" t="s">
        <v>487</v>
      </c>
      <c r="F39" t="s">
        <v>579</v>
      </c>
      <c r="H39" s="253">
        <f>ROUND(+H37*H38,0)</f>
        <v>20759873</v>
      </c>
    </row>
    <row r="40" spans="1:8">
      <c r="A40" s="86">
        <f t="shared" si="0"/>
        <v>31</v>
      </c>
      <c r="B40" s="86"/>
      <c r="D40" t="s">
        <v>485</v>
      </c>
      <c r="F40" t="s">
        <v>486</v>
      </c>
      <c r="H40" s="254">
        <f>+'Schedule 1A - Svcs Co Plant_Rev'!P29</f>
        <v>34179099.366563462</v>
      </c>
    </row>
    <row r="41" spans="1:8">
      <c r="A41" s="86">
        <f t="shared" si="0"/>
        <v>32</v>
      </c>
      <c r="B41" s="86"/>
      <c r="D41" s="1" t="s">
        <v>64</v>
      </c>
      <c r="F41" t="s">
        <v>722</v>
      </c>
      <c r="H41" s="256">
        <f>+H39+H40</f>
        <v>54938972.366563462</v>
      </c>
    </row>
    <row r="42" spans="1:8">
      <c r="A42" s="86">
        <f t="shared" si="0"/>
        <v>33</v>
      </c>
      <c r="B42" s="86"/>
      <c r="H42" s="256"/>
    </row>
    <row r="43" spans="1:8">
      <c r="A43" s="86">
        <f t="shared" si="0"/>
        <v>34</v>
      </c>
      <c r="B43" s="86"/>
      <c r="C43" s="1" t="s">
        <v>66</v>
      </c>
      <c r="F43" t="s">
        <v>581</v>
      </c>
      <c r="H43" s="256">
        <f>+H34+H41</f>
        <v>1570209912.5075591</v>
      </c>
    </row>
    <row r="44" spans="1:8">
      <c r="A44" s="86">
        <f t="shared" si="0"/>
        <v>35</v>
      </c>
      <c r="B44" s="86"/>
      <c r="H44" s="256"/>
    </row>
    <row r="45" spans="1:8">
      <c r="A45" s="86">
        <f t="shared" si="0"/>
        <v>36</v>
      </c>
      <c r="B45" s="86"/>
      <c r="C45" s="1" t="s">
        <v>94</v>
      </c>
      <c r="H45" s="256"/>
    </row>
    <row r="46" spans="1:8">
      <c r="A46" s="86">
        <f t="shared" si="0"/>
        <v>37</v>
      </c>
      <c r="B46" s="86"/>
      <c r="H46" s="256"/>
    </row>
    <row r="47" spans="1:8">
      <c r="A47" s="86">
        <f t="shared" si="0"/>
        <v>38</v>
      </c>
      <c r="B47" s="86"/>
      <c r="D47" t="s">
        <v>76</v>
      </c>
      <c r="E47" t="s">
        <v>106</v>
      </c>
      <c r="F47" t="s">
        <v>9</v>
      </c>
      <c r="H47" s="258">
        <f>+'Schedule 1 - Plant'!P112</f>
        <v>427507308.12088901</v>
      </c>
    </row>
    <row r="48" spans="1:8">
      <c r="A48" s="86">
        <f t="shared" si="0"/>
        <v>39</v>
      </c>
      <c r="B48" s="86"/>
      <c r="D48" t="s">
        <v>95</v>
      </c>
      <c r="H48" s="256">
        <f>+H47</f>
        <v>427507308.12088901</v>
      </c>
    </row>
    <row r="49" spans="1:8">
      <c r="A49" s="86">
        <f t="shared" si="0"/>
        <v>40</v>
      </c>
      <c r="B49" s="86"/>
      <c r="H49" s="256"/>
    </row>
    <row r="50" spans="1:8">
      <c r="A50" s="86">
        <f t="shared" si="0"/>
        <v>41</v>
      </c>
      <c r="B50" s="86"/>
      <c r="D50" t="s">
        <v>489</v>
      </c>
      <c r="E50" t="s">
        <v>106</v>
      </c>
      <c r="F50" t="s">
        <v>9</v>
      </c>
      <c r="H50" s="253">
        <f>+'Schedule 1 - Plant'!P185</f>
        <v>142138515.97230768</v>
      </c>
    </row>
    <row r="51" spans="1:8">
      <c r="A51" s="86">
        <f t="shared" si="0"/>
        <v>42</v>
      </c>
      <c r="B51" s="86"/>
      <c r="D51" t="s">
        <v>51</v>
      </c>
      <c r="F51" t="s">
        <v>65</v>
      </c>
      <c r="H51" s="257">
        <f>+H17</f>
        <v>7.6899999999999996E-2</v>
      </c>
    </row>
    <row r="52" spans="1:8">
      <c r="A52" s="86">
        <f t="shared" si="0"/>
        <v>43</v>
      </c>
      <c r="B52" s="86"/>
      <c r="D52" t="s">
        <v>487</v>
      </c>
      <c r="F52" t="s">
        <v>584</v>
      </c>
      <c r="H52" s="253">
        <f>ROUND(+H50*H51,0)</f>
        <v>10930452</v>
      </c>
    </row>
    <row r="53" spans="1:8">
      <c r="A53" s="86">
        <f t="shared" si="0"/>
        <v>44</v>
      </c>
      <c r="B53" s="86"/>
      <c r="D53" t="s">
        <v>488</v>
      </c>
      <c r="E53" t="s">
        <v>106</v>
      </c>
      <c r="F53" t="s">
        <v>486</v>
      </c>
      <c r="H53" s="254">
        <f>+'Schedule 1A - Svcs Co Plant_Rev'!P33</f>
        <v>20333656.09496323</v>
      </c>
    </row>
    <row r="54" spans="1:8">
      <c r="A54" s="86">
        <f t="shared" si="0"/>
        <v>45</v>
      </c>
      <c r="B54" s="86"/>
      <c r="D54" s="1" t="s">
        <v>96</v>
      </c>
      <c r="F54" t="s">
        <v>586</v>
      </c>
      <c r="H54" s="256">
        <f>+H52+H53</f>
        <v>31264108.09496323</v>
      </c>
    </row>
    <row r="55" spans="1:8">
      <c r="A55" s="86">
        <f t="shared" si="0"/>
        <v>46</v>
      </c>
      <c r="B55" s="86"/>
      <c r="H55" s="256"/>
    </row>
    <row r="56" spans="1:8">
      <c r="A56" s="86">
        <f t="shared" si="0"/>
        <v>47</v>
      </c>
      <c r="B56" s="86"/>
      <c r="C56" s="1" t="s">
        <v>95</v>
      </c>
      <c r="F56" t="s">
        <v>587</v>
      </c>
      <c r="H56" s="258">
        <f>+H48+H54</f>
        <v>458771416.21585226</v>
      </c>
    </row>
    <row r="57" spans="1:8">
      <c r="A57" s="86">
        <f t="shared" si="0"/>
        <v>48</v>
      </c>
      <c r="B57" s="86"/>
      <c r="C57" s="1"/>
      <c r="H57" s="256"/>
    </row>
    <row r="58" spans="1:8" ht="15.75" thickBot="1">
      <c r="A58" s="86">
        <f t="shared" si="0"/>
        <v>49</v>
      </c>
      <c r="B58" s="86"/>
      <c r="C58" s="1" t="s">
        <v>97</v>
      </c>
      <c r="F58" t="s">
        <v>588</v>
      </c>
      <c r="H58" s="259">
        <f>+H43-H56</f>
        <v>1111438496.2917068</v>
      </c>
    </row>
    <row r="59" spans="1:8" ht="15.75" thickTop="1">
      <c r="A59" s="86">
        <f t="shared" si="0"/>
        <v>50</v>
      </c>
      <c r="B59" s="86"/>
      <c r="C59" s="1"/>
      <c r="H59" s="256"/>
    </row>
    <row r="60" spans="1:8">
      <c r="A60" s="86">
        <f t="shared" si="0"/>
        <v>51</v>
      </c>
      <c r="B60" s="86"/>
      <c r="C60" s="1" t="s">
        <v>531</v>
      </c>
      <c r="H60" s="256"/>
    </row>
    <row r="61" spans="1:8">
      <c r="A61" s="86">
        <f t="shared" si="0"/>
        <v>52</v>
      </c>
      <c r="B61" s="86"/>
      <c r="C61" s="1"/>
      <c r="D61" s="220" t="s">
        <v>1186</v>
      </c>
      <c r="E61" t="s">
        <v>106</v>
      </c>
      <c r="F61" t="s">
        <v>538</v>
      </c>
      <c r="H61" s="256">
        <f>+'Schedule 1B - Projected Plant'!T24</f>
        <v>287230149.29846126</v>
      </c>
    </row>
    <row r="62" spans="1:8">
      <c r="A62" s="86">
        <f t="shared" si="0"/>
        <v>53</v>
      </c>
      <c r="B62" s="86"/>
      <c r="C62" s="1"/>
      <c r="D62" t="s">
        <v>1187</v>
      </c>
      <c r="E62" t="s">
        <v>106</v>
      </c>
      <c r="F62" t="s">
        <v>538</v>
      </c>
      <c r="H62" s="256">
        <f>-'Schedule 1B - Projected Plant'!T45</f>
        <v>-64525436.532207131</v>
      </c>
    </row>
    <row r="63" spans="1:8">
      <c r="A63" s="86">
        <f t="shared" si="0"/>
        <v>54</v>
      </c>
      <c r="B63" s="86"/>
      <c r="C63" s="1"/>
      <c r="D63" t="s">
        <v>1188</v>
      </c>
      <c r="F63" t="s">
        <v>538</v>
      </c>
      <c r="H63" s="449">
        <f>'Schedule 1B - Projected Plant'!P74</f>
        <v>-1769536.4753621253</v>
      </c>
    </row>
    <row r="64" spans="1:8">
      <c r="A64" s="86">
        <f t="shared" si="0"/>
        <v>55</v>
      </c>
      <c r="B64" s="86"/>
      <c r="C64" s="1"/>
      <c r="H64" s="253"/>
    </row>
    <row r="65" spans="1:9">
      <c r="A65" s="86">
        <f t="shared" si="0"/>
        <v>56</v>
      </c>
      <c r="B65" s="86"/>
      <c r="C65" s="1"/>
      <c r="H65" s="253"/>
    </row>
    <row r="66" spans="1:9">
      <c r="A66" s="86">
        <f t="shared" si="0"/>
        <v>57</v>
      </c>
      <c r="B66" s="86"/>
      <c r="C66" s="1"/>
      <c r="H66" s="254"/>
    </row>
    <row r="67" spans="1:9">
      <c r="A67" s="86">
        <f t="shared" si="0"/>
        <v>58</v>
      </c>
      <c r="B67" s="86"/>
      <c r="C67" s="1"/>
      <c r="D67" s="1" t="s">
        <v>1382</v>
      </c>
      <c r="F67" t="s">
        <v>604</v>
      </c>
      <c r="H67" s="253">
        <f>+H61+H62+H63</f>
        <v>220935176.290892</v>
      </c>
    </row>
    <row r="68" spans="1:9">
      <c r="A68" s="86">
        <f t="shared" si="0"/>
        <v>59</v>
      </c>
      <c r="B68" s="86"/>
      <c r="C68" s="1"/>
      <c r="H68" s="253"/>
    </row>
    <row r="69" spans="1:9" ht="15.75" thickBot="1">
      <c r="A69" s="86">
        <f t="shared" si="0"/>
        <v>60</v>
      </c>
      <c r="B69" s="86"/>
      <c r="C69" s="1" t="s">
        <v>532</v>
      </c>
      <c r="F69" t="s">
        <v>1396</v>
      </c>
      <c r="H69" s="260">
        <f>+H58+H67</f>
        <v>1332373672.5825987</v>
      </c>
    </row>
    <row r="70" spans="1:9" ht="16.5" thickTop="1" thickBot="1">
      <c r="A70" s="86">
        <f t="shared" si="0"/>
        <v>61</v>
      </c>
      <c r="H70" s="253"/>
    </row>
    <row r="71" spans="1:9" ht="15.75" thickBot="1">
      <c r="A71" s="86">
        <f t="shared" si="0"/>
        <v>62</v>
      </c>
      <c r="B71" s="218" t="s">
        <v>99</v>
      </c>
      <c r="C71" s="218"/>
      <c r="D71" s="2"/>
      <c r="E71" s="2"/>
      <c r="F71" s="2"/>
      <c r="G71" s="2"/>
      <c r="H71" s="336"/>
      <c r="I71" s="336"/>
    </row>
    <row r="72" spans="1:9">
      <c r="A72" s="86">
        <f t="shared" si="0"/>
        <v>63</v>
      </c>
      <c r="H72" s="253"/>
    </row>
    <row r="73" spans="1:9">
      <c r="A73" s="86">
        <f t="shared" si="0"/>
        <v>64</v>
      </c>
      <c r="H73" s="253"/>
    </row>
    <row r="74" spans="1:9">
      <c r="A74" s="86">
        <f t="shared" si="0"/>
        <v>65</v>
      </c>
      <c r="C74" t="s">
        <v>100</v>
      </c>
      <c r="E74" t="s">
        <v>756</v>
      </c>
      <c r="F74" t="s">
        <v>101</v>
      </c>
      <c r="H74" s="253">
        <f>+'Schedule 2 - ADIT'!H65</f>
        <v>-142655395.24866852</v>
      </c>
    </row>
    <row r="75" spans="1:9">
      <c r="A75" s="86">
        <f t="shared" si="0"/>
        <v>66</v>
      </c>
      <c r="H75" s="253"/>
    </row>
    <row r="76" spans="1:9">
      <c r="A76" s="86">
        <f t="shared" ref="A76:A139" si="1">+A75+1</f>
        <v>67</v>
      </c>
      <c r="H76" s="253"/>
    </row>
    <row r="77" spans="1:9">
      <c r="A77" s="86">
        <f t="shared" si="1"/>
        <v>68</v>
      </c>
      <c r="H77" s="253"/>
    </row>
    <row r="78" spans="1:9">
      <c r="A78" s="86">
        <f t="shared" si="1"/>
        <v>69</v>
      </c>
      <c r="C78" t="s">
        <v>107</v>
      </c>
      <c r="E78" t="s">
        <v>756</v>
      </c>
      <c r="F78" t="s">
        <v>108</v>
      </c>
      <c r="H78" s="253">
        <f>+'Schedule 4 - Regulatory Assets'!E76</f>
        <v>0</v>
      </c>
    </row>
    <row r="79" spans="1:9">
      <c r="A79" s="86">
        <f t="shared" si="1"/>
        <v>70</v>
      </c>
      <c r="H79" s="253"/>
    </row>
    <row r="80" spans="1:9">
      <c r="A80" s="86">
        <f t="shared" si="1"/>
        <v>71</v>
      </c>
      <c r="C80" t="s">
        <v>121</v>
      </c>
      <c r="E80" t="s">
        <v>756</v>
      </c>
      <c r="F80" t="s">
        <v>122</v>
      </c>
      <c r="H80" s="253">
        <f>+'Schedule 5 Misc Def Debits'!E51</f>
        <v>58444621</v>
      </c>
    </row>
    <row r="81" spans="1:8">
      <c r="A81" s="86">
        <f t="shared" si="1"/>
        <v>72</v>
      </c>
      <c r="H81" s="253"/>
    </row>
    <row r="82" spans="1:8">
      <c r="A82" s="86">
        <f t="shared" si="1"/>
        <v>73</v>
      </c>
      <c r="H82" s="253"/>
    </row>
    <row r="83" spans="1:8">
      <c r="A83" s="86">
        <f t="shared" si="1"/>
        <v>74</v>
      </c>
      <c r="H83" s="261"/>
    </row>
    <row r="84" spans="1:8">
      <c r="A84" s="86">
        <f t="shared" si="1"/>
        <v>75</v>
      </c>
      <c r="H84" s="253"/>
    </row>
    <row r="85" spans="1:8">
      <c r="A85" s="86">
        <f t="shared" si="1"/>
        <v>76</v>
      </c>
      <c r="H85" s="253"/>
    </row>
    <row r="86" spans="1:8">
      <c r="A86" s="86">
        <f t="shared" si="1"/>
        <v>77</v>
      </c>
      <c r="C86" t="s">
        <v>168</v>
      </c>
      <c r="H86" s="253"/>
    </row>
    <row r="87" spans="1:8">
      <c r="A87" s="86">
        <f t="shared" si="1"/>
        <v>78</v>
      </c>
      <c r="D87" t="s">
        <v>167</v>
      </c>
      <c r="E87" t="s">
        <v>756</v>
      </c>
      <c r="F87" t="s">
        <v>137</v>
      </c>
      <c r="H87" s="256">
        <f>+'Schedule 7 - Working capital'!E34</f>
        <v>22006001.5</v>
      </c>
    </row>
    <row r="88" spans="1:8">
      <c r="A88" s="86">
        <f t="shared" si="1"/>
        <v>79</v>
      </c>
      <c r="D88" t="s">
        <v>169</v>
      </c>
      <c r="E88" t="s">
        <v>756</v>
      </c>
      <c r="F88" t="s">
        <v>137</v>
      </c>
      <c r="H88" s="258">
        <f>+'Schedule 7 - Working capital'!E64</f>
        <v>4232898.7149999999</v>
      </c>
    </row>
    <row r="89" spans="1:8">
      <c r="A89" s="86">
        <f t="shared" si="1"/>
        <v>80</v>
      </c>
      <c r="C89" t="s">
        <v>170</v>
      </c>
      <c r="H89" s="256">
        <f>+H87+H88</f>
        <v>26238900.215</v>
      </c>
    </row>
    <row r="90" spans="1:8">
      <c r="A90" s="86">
        <f t="shared" si="1"/>
        <v>81</v>
      </c>
      <c r="H90" s="256"/>
    </row>
    <row r="91" spans="1:8">
      <c r="A91" s="86">
        <f t="shared" si="1"/>
        <v>82</v>
      </c>
      <c r="C91" t="s">
        <v>599</v>
      </c>
      <c r="E91" t="s">
        <v>1249</v>
      </c>
      <c r="F91" t="s">
        <v>171</v>
      </c>
      <c r="H91" s="253">
        <f>+'Schedule 8 Other Deferred'!E120</f>
        <v>-3136291</v>
      </c>
    </row>
    <row r="92" spans="1:8">
      <c r="A92" s="86">
        <f t="shared" si="1"/>
        <v>83</v>
      </c>
      <c r="D92" t="s">
        <v>139</v>
      </c>
      <c r="F92" t="s">
        <v>595</v>
      </c>
      <c r="H92" s="262">
        <f>+H17</f>
        <v>7.6899999999999996E-2</v>
      </c>
    </row>
    <row r="93" spans="1:8">
      <c r="A93" s="86">
        <f t="shared" si="1"/>
        <v>84</v>
      </c>
      <c r="C93" t="s">
        <v>140</v>
      </c>
      <c r="F93" t="s">
        <v>600</v>
      </c>
      <c r="H93" s="256">
        <f>ROUND(+H91*H92,0)</f>
        <v>-241181</v>
      </c>
    </row>
    <row r="94" spans="1:8">
      <c r="A94" s="86">
        <f t="shared" si="1"/>
        <v>85</v>
      </c>
      <c r="H94" s="253"/>
    </row>
    <row r="95" spans="1:8">
      <c r="A95" s="86">
        <f t="shared" si="1"/>
        <v>86</v>
      </c>
      <c r="C95" t="s">
        <v>142</v>
      </c>
      <c r="E95" t="s">
        <v>1250</v>
      </c>
      <c r="F95" t="s">
        <v>171</v>
      </c>
      <c r="H95" s="253">
        <f>+'Schedule 8 Other Deferred'!E110</f>
        <v>-8095849.9352899995</v>
      </c>
    </row>
    <row r="96" spans="1:8">
      <c r="A96" s="86">
        <f t="shared" si="1"/>
        <v>87</v>
      </c>
      <c r="H96" s="253"/>
    </row>
    <row r="97" spans="1:9" ht="15.75" thickBot="1">
      <c r="A97" s="86">
        <f t="shared" si="1"/>
        <v>88</v>
      </c>
      <c r="C97" s="1" t="s">
        <v>199</v>
      </c>
      <c r="F97" s="93" t="s">
        <v>1189</v>
      </c>
      <c r="H97" s="260">
        <f>+H74+H78+H80+H89+H93+H95</f>
        <v>-66308904.968958519</v>
      </c>
    </row>
    <row r="98" spans="1:9" ht="15.75" thickTop="1">
      <c r="A98" s="86">
        <f t="shared" si="1"/>
        <v>89</v>
      </c>
      <c r="H98" s="253"/>
    </row>
    <row r="99" spans="1:9" ht="15.75" thickBot="1">
      <c r="A99" s="86">
        <f t="shared" si="1"/>
        <v>90</v>
      </c>
      <c r="B99" s="1" t="s">
        <v>200</v>
      </c>
      <c r="F99" t="s">
        <v>602</v>
      </c>
      <c r="H99" s="260">
        <f>+H97+H69</f>
        <v>1266064767.6136401</v>
      </c>
    </row>
    <row r="100" spans="1:9" ht="16.5" thickTop="1" thickBot="1">
      <c r="A100" s="86">
        <f t="shared" si="1"/>
        <v>91</v>
      </c>
      <c r="H100" s="253"/>
    </row>
    <row r="101" spans="1:9" ht="15.75" thickBot="1">
      <c r="A101" s="86">
        <f t="shared" si="1"/>
        <v>92</v>
      </c>
      <c r="B101" s="218" t="s">
        <v>657</v>
      </c>
      <c r="C101" s="2"/>
      <c r="D101" s="2"/>
      <c r="E101" s="2"/>
      <c r="F101" s="2"/>
      <c r="G101" s="2"/>
      <c r="H101" s="336"/>
      <c r="I101" s="336"/>
    </row>
    <row r="102" spans="1:9">
      <c r="A102" s="86">
        <f t="shared" si="1"/>
        <v>93</v>
      </c>
      <c r="H102" s="253"/>
    </row>
    <row r="103" spans="1:9">
      <c r="A103" s="86">
        <f t="shared" si="1"/>
        <v>94</v>
      </c>
      <c r="C103" s="1" t="s">
        <v>201</v>
      </c>
      <c r="H103" s="253"/>
    </row>
    <row r="104" spans="1:9">
      <c r="A104" s="86">
        <f t="shared" si="1"/>
        <v>95</v>
      </c>
      <c r="D104" t="s">
        <v>201</v>
      </c>
      <c r="F104" t="s">
        <v>202</v>
      </c>
      <c r="H104" s="253">
        <f>+'FERC Form 1 Inputs'!L46</f>
        <v>46763902</v>
      </c>
    </row>
    <row r="105" spans="1:9">
      <c r="A105" s="86">
        <f t="shared" si="1"/>
        <v>96</v>
      </c>
      <c r="D105" s="224" t="s">
        <v>754</v>
      </c>
      <c r="F105" t="s">
        <v>1190</v>
      </c>
      <c r="H105" s="253">
        <f>+'FERC Form 1 Inputs'!L38+'FERC Form 1 Inputs'!L39+'FERC Form 1 Inputs'!L40+'FERC Form 1 Inputs'!L41+'FERC Form 1 Inputs'!L42+'FERC Form 1 Inputs'!L43+'FERC Form 1 Inputs'!L44</f>
        <v>1082239</v>
      </c>
    </row>
    <row r="106" spans="1:9">
      <c r="A106" s="86">
        <f t="shared" si="1"/>
        <v>97</v>
      </c>
      <c r="D106" s="224" t="s">
        <v>236</v>
      </c>
      <c r="F106" t="s">
        <v>203</v>
      </c>
      <c r="H106" s="253">
        <f>+'FERC Form 1 Inputs'!L45</f>
        <v>18138797</v>
      </c>
    </row>
    <row r="107" spans="1:9">
      <c r="A107" s="86">
        <f t="shared" si="1"/>
        <v>98</v>
      </c>
      <c r="D107" s="224" t="s">
        <v>942</v>
      </c>
      <c r="F107" t="s">
        <v>569</v>
      </c>
      <c r="H107" s="254">
        <f>+'Schedule 13 Direct Assignment'!M82</f>
        <v>1395728.2423991603</v>
      </c>
    </row>
    <row r="108" spans="1:9">
      <c r="A108" s="86">
        <f t="shared" si="1"/>
        <v>99</v>
      </c>
      <c r="D108" s="1" t="s">
        <v>201</v>
      </c>
      <c r="F108" t="s">
        <v>1191</v>
      </c>
      <c r="H108" s="253">
        <f>+H104-H106-H105-H107</f>
        <v>26147137.75760084</v>
      </c>
    </row>
    <row r="109" spans="1:9">
      <c r="A109" s="86">
        <f t="shared" si="1"/>
        <v>100</v>
      </c>
      <c r="C109" s="1"/>
      <c r="H109" s="256"/>
    </row>
    <row r="110" spans="1:9">
      <c r="A110" s="86">
        <f t="shared" si="1"/>
        <v>101</v>
      </c>
      <c r="C110" s="1" t="s">
        <v>204</v>
      </c>
      <c r="H110" s="256"/>
    </row>
    <row r="111" spans="1:9">
      <c r="A111" s="86">
        <f t="shared" si="1"/>
        <v>102</v>
      </c>
      <c r="D111" s="224" t="s">
        <v>205</v>
      </c>
      <c r="F111" t="s">
        <v>211</v>
      </c>
      <c r="H111" s="253">
        <f>+'Schedule 9 O&amp;M'!D118</f>
        <v>190413852</v>
      </c>
    </row>
    <row r="112" spans="1:9">
      <c r="A112" s="86">
        <f t="shared" si="1"/>
        <v>103</v>
      </c>
      <c r="D112" s="224" t="s">
        <v>207</v>
      </c>
      <c r="F112" t="s">
        <v>208</v>
      </c>
      <c r="H112" s="253">
        <f>+'FERC Form 1 Inputs'!L47</f>
        <v>2966738</v>
      </c>
    </row>
    <row r="113" spans="1:8">
      <c r="A113" s="86">
        <f t="shared" si="1"/>
        <v>104</v>
      </c>
      <c r="D113" s="224" t="s">
        <v>209</v>
      </c>
      <c r="E113" t="s">
        <v>901</v>
      </c>
      <c r="F113" t="s">
        <v>210</v>
      </c>
      <c r="H113" s="253">
        <f>+'FERC Form 1 Inputs'!L48</f>
        <v>42461100</v>
      </c>
    </row>
    <row r="114" spans="1:8">
      <c r="A114" s="86">
        <f t="shared" si="1"/>
        <v>105</v>
      </c>
      <c r="D114" s="224" t="s">
        <v>658</v>
      </c>
      <c r="E114" t="s">
        <v>902</v>
      </c>
      <c r="F114" t="s">
        <v>211</v>
      </c>
      <c r="H114" s="253">
        <f>+'Schedule 9 O&amp;M'!D64</f>
        <v>17806554</v>
      </c>
    </row>
    <row r="115" spans="1:8">
      <c r="A115" s="86">
        <f t="shared" si="1"/>
        <v>106</v>
      </c>
      <c r="D115" s="224" t="s">
        <v>930</v>
      </c>
      <c r="F115" t="s">
        <v>211</v>
      </c>
      <c r="H115" s="256">
        <f>+'Schedule 9 O&amp;M'!D40</f>
        <v>3093782.55687</v>
      </c>
    </row>
    <row r="116" spans="1:8">
      <c r="A116" s="86">
        <f t="shared" si="1"/>
        <v>107</v>
      </c>
      <c r="D116" s="224" t="s">
        <v>931</v>
      </c>
      <c r="F116" t="s">
        <v>211</v>
      </c>
      <c r="H116" s="256">
        <f>+'Schedule 9 O&amp;M'!D134</f>
        <v>5433139.864778365</v>
      </c>
    </row>
    <row r="117" spans="1:8">
      <c r="A117" s="86">
        <f t="shared" si="1"/>
        <v>108</v>
      </c>
      <c r="D117" s="224" t="s">
        <v>230</v>
      </c>
      <c r="F117" s="93" t="s">
        <v>211</v>
      </c>
      <c r="H117" s="256">
        <f>+'Schedule 9 O&amp;M'!D97</f>
        <v>1873479.7999999998</v>
      </c>
    </row>
    <row r="118" spans="1:8">
      <c r="A118" s="86">
        <f t="shared" si="1"/>
        <v>109</v>
      </c>
      <c r="D118" s="224" t="s">
        <v>231</v>
      </c>
      <c r="F118" t="s">
        <v>211</v>
      </c>
      <c r="H118" s="258">
        <f>+'Schedule 9 O&amp;M'!D50</f>
        <v>-18743269</v>
      </c>
    </row>
    <row r="119" spans="1:8">
      <c r="A119" s="86">
        <f t="shared" si="1"/>
        <v>110</v>
      </c>
      <c r="D119" s="1" t="s">
        <v>205</v>
      </c>
      <c r="H119" s="256">
        <f>H111-H112-H113-H114-H116+H117+H118-H115</f>
        <v>101782748.37835163</v>
      </c>
    </row>
    <row r="120" spans="1:8">
      <c r="A120" s="86">
        <f t="shared" si="1"/>
        <v>111</v>
      </c>
      <c r="D120" t="s">
        <v>139</v>
      </c>
      <c r="F120" t="s">
        <v>595</v>
      </c>
      <c r="H120" s="262">
        <f>+H17</f>
        <v>7.6899999999999996E-2</v>
      </c>
    </row>
    <row r="121" spans="1:8">
      <c r="A121" s="86">
        <f t="shared" si="1"/>
        <v>112</v>
      </c>
      <c r="D121" s="1" t="s">
        <v>659</v>
      </c>
      <c r="F121" t="s">
        <v>1192</v>
      </c>
      <c r="H121" s="256">
        <f>+H119*H120</f>
        <v>7827093.3502952401</v>
      </c>
    </row>
    <row r="122" spans="1:8">
      <c r="A122" s="86">
        <f t="shared" si="1"/>
        <v>113</v>
      </c>
      <c r="H122" s="256"/>
    </row>
    <row r="123" spans="1:8">
      <c r="A123" s="86">
        <f t="shared" si="1"/>
        <v>114</v>
      </c>
      <c r="D123" t="s">
        <v>232</v>
      </c>
      <c r="F123" t="s">
        <v>1193</v>
      </c>
      <c r="H123" s="256">
        <f>+H112</f>
        <v>2966738</v>
      </c>
    </row>
    <row r="124" spans="1:8">
      <c r="A124" s="86">
        <f t="shared" si="1"/>
        <v>115</v>
      </c>
      <c r="D124" t="s">
        <v>233</v>
      </c>
      <c r="F124" t="s">
        <v>605</v>
      </c>
      <c r="H124" s="262">
        <f>+H28</f>
        <v>0.29680000000000001</v>
      </c>
    </row>
    <row r="125" spans="1:8">
      <c r="A125" s="86">
        <f t="shared" si="1"/>
        <v>116</v>
      </c>
      <c r="D125" s="1" t="s">
        <v>234</v>
      </c>
      <c r="F125" t="s">
        <v>1194</v>
      </c>
      <c r="H125" s="256">
        <f>+H123*H124</f>
        <v>880527.83840000001</v>
      </c>
    </row>
    <row r="126" spans="1:8">
      <c r="A126" s="86">
        <f t="shared" si="1"/>
        <v>117</v>
      </c>
      <c r="C126" s="1"/>
      <c r="F126" s="93"/>
      <c r="H126" s="256"/>
    </row>
    <row r="127" spans="1:8" ht="15.75" thickBot="1">
      <c r="A127" s="86">
        <f t="shared" si="1"/>
        <v>118</v>
      </c>
      <c r="C127" s="1" t="s">
        <v>235</v>
      </c>
      <c r="F127" t="s">
        <v>1195</v>
      </c>
      <c r="H127" s="259">
        <f>+H125+H121+H108</f>
        <v>34854758.946296081</v>
      </c>
    </row>
    <row r="128" spans="1:8" ht="16.5" thickTop="1" thickBot="1">
      <c r="A128" s="86">
        <f t="shared" si="1"/>
        <v>119</v>
      </c>
      <c r="H128" s="256"/>
    </row>
    <row r="129" spans="1:9" ht="15.75" thickBot="1">
      <c r="A129" s="86">
        <f t="shared" si="1"/>
        <v>120</v>
      </c>
      <c r="C129" s="218" t="s">
        <v>237</v>
      </c>
      <c r="D129" s="2"/>
      <c r="E129" s="2"/>
      <c r="F129" s="2"/>
      <c r="G129" s="2"/>
      <c r="H129" s="2"/>
      <c r="I129" s="2"/>
    </row>
    <row r="130" spans="1:9">
      <c r="A130" s="86">
        <f t="shared" si="1"/>
        <v>121</v>
      </c>
      <c r="C130" s="1"/>
      <c r="H130" s="256"/>
    </row>
    <row r="131" spans="1:9">
      <c r="A131" s="86">
        <f t="shared" si="1"/>
        <v>122</v>
      </c>
      <c r="C131" s="1" t="s">
        <v>237</v>
      </c>
      <c r="H131" s="256"/>
    </row>
    <row r="132" spans="1:9">
      <c r="A132" s="86">
        <f t="shared" si="1"/>
        <v>123</v>
      </c>
      <c r="D132" t="s">
        <v>238</v>
      </c>
      <c r="E132" t="s">
        <v>1251</v>
      </c>
      <c r="F132" t="s">
        <v>239</v>
      </c>
      <c r="H132" s="253">
        <f>+'FERC Form 1 Inputs'!L51</f>
        <v>50055374</v>
      </c>
    </row>
    <row r="133" spans="1:9">
      <c r="A133" s="86">
        <f t="shared" si="1"/>
        <v>124</v>
      </c>
      <c r="D133" t="s">
        <v>1196</v>
      </c>
      <c r="E133" t="s">
        <v>1251</v>
      </c>
      <c r="F133" t="s">
        <v>538</v>
      </c>
      <c r="H133" s="253">
        <f>+'Schedule 1B - Projected Plant'!P99</f>
        <v>9126364.4124053419</v>
      </c>
    </row>
    <row r="134" spans="1:9">
      <c r="A134" s="86">
        <f t="shared" si="1"/>
        <v>125</v>
      </c>
      <c r="H134" s="253"/>
    </row>
    <row r="135" spans="1:9">
      <c r="A135" s="86">
        <f t="shared" si="1"/>
        <v>126</v>
      </c>
      <c r="D135" t="s">
        <v>946</v>
      </c>
      <c r="E135" t="s">
        <v>1251</v>
      </c>
      <c r="F135" s="220" t="s">
        <v>947</v>
      </c>
      <c r="H135" s="253">
        <f>'Schedule 1C - Settlement Adjust'!C567</f>
        <v>49257.289125412513</v>
      </c>
    </row>
    <row r="136" spans="1:9">
      <c r="A136" s="86">
        <f t="shared" si="1"/>
        <v>127</v>
      </c>
      <c r="D136" t="s">
        <v>568</v>
      </c>
      <c r="E136" t="s">
        <v>1251</v>
      </c>
      <c r="F136" t="s">
        <v>569</v>
      </c>
      <c r="H136" s="254">
        <f>+'Schedule 13 Direct Assignment'!M71</f>
        <v>11705008.269159239</v>
      </c>
    </row>
    <row r="137" spans="1:9">
      <c r="A137" s="86">
        <f t="shared" si="1"/>
        <v>128</v>
      </c>
      <c r="D137" s="1" t="s">
        <v>240</v>
      </c>
      <c r="F137" t="s">
        <v>1197</v>
      </c>
      <c r="H137" s="253">
        <f>+H132+H133-H135-H136</f>
        <v>47427472.854120687</v>
      </c>
    </row>
    <row r="138" spans="1:9">
      <c r="A138" s="86">
        <f t="shared" si="1"/>
        <v>129</v>
      </c>
      <c r="H138" s="253"/>
    </row>
    <row r="139" spans="1:9">
      <c r="A139" s="86">
        <f t="shared" si="1"/>
        <v>130</v>
      </c>
      <c r="D139" t="s">
        <v>241</v>
      </c>
      <c r="E139" t="s">
        <v>1251</v>
      </c>
      <c r="F139" t="s">
        <v>243</v>
      </c>
      <c r="H139" s="253">
        <f>+'FERC Form 1 Inputs'!L52</f>
        <v>10530437.939999999</v>
      </c>
    </row>
    <row r="140" spans="1:9">
      <c r="A140" s="86">
        <f t="shared" ref="A140:A204" si="2">+A139+1</f>
        <v>131</v>
      </c>
      <c r="D140" t="s">
        <v>242</v>
      </c>
      <c r="E140" t="s">
        <v>1251</v>
      </c>
      <c r="F140" t="s">
        <v>244</v>
      </c>
      <c r="H140" s="253">
        <f>+'FERC Form 1 Inputs'!L50</f>
        <v>11735700</v>
      </c>
    </row>
    <row r="141" spans="1:9">
      <c r="A141" s="86">
        <f t="shared" si="2"/>
        <v>132</v>
      </c>
      <c r="D141" t="s">
        <v>275</v>
      </c>
      <c r="E141" t="s">
        <v>1251</v>
      </c>
      <c r="F141" t="s">
        <v>211</v>
      </c>
      <c r="H141" s="256">
        <f>+'Schedule 9 O&amp;M'!D53</f>
        <v>12410209</v>
      </c>
    </row>
    <row r="142" spans="1:9">
      <c r="A142" s="86">
        <f t="shared" si="2"/>
        <v>133</v>
      </c>
      <c r="D142" t="s">
        <v>276</v>
      </c>
      <c r="E142" t="s">
        <v>1251</v>
      </c>
      <c r="F142" t="s">
        <v>211</v>
      </c>
      <c r="H142" s="258">
        <f>+'Schedule 9 O&amp;M'!D54</f>
        <v>20245009</v>
      </c>
    </row>
    <row r="143" spans="1:9">
      <c r="A143" s="86">
        <f>+A142+1</f>
        <v>134</v>
      </c>
      <c r="D143" t="s">
        <v>245</v>
      </c>
      <c r="F143" t="s">
        <v>1198</v>
      </c>
      <c r="H143" s="256">
        <f>SUM(H139:H142)</f>
        <v>54921355.939999998</v>
      </c>
    </row>
    <row r="144" spans="1:9">
      <c r="A144" s="86">
        <f t="shared" si="2"/>
        <v>135</v>
      </c>
      <c r="D144" t="s">
        <v>59</v>
      </c>
      <c r="F144" t="s">
        <v>595</v>
      </c>
      <c r="H144" s="262">
        <f>+H17</f>
        <v>7.6899999999999996E-2</v>
      </c>
    </row>
    <row r="145" spans="1:9">
      <c r="A145" s="86">
        <f t="shared" si="2"/>
        <v>136</v>
      </c>
      <c r="D145" t="s">
        <v>246</v>
      </c>
      <c r="F145" t="s">
        <v>1199</v>
      </c>
      <c r="H145" s="256">
        <f>+H143*H144</f>
        <v>4223452.2717859996</v>
      </c>
    </row>
    <row r="146" spans="1:9">
      <c r="A146" s="86">
        <f t="shared" si="2"/>
        <v>137</v>
      </c>
      <c r="C146" s="1"/>
      <c r="H146" s="256"/>
    </row>
    <row r="147" spans="1:9" ht="15.75" thickBot="1">
      <c r="A147" s="86">
        <f t="shared" si="2"/>
        <v>138</v>
      </c>
      <c r="C147" s="1" t="s">
        <v>247</v>
      </c>
      <c r="F147" t="s">
        <v>1200</v>
      </c>
      <c r="H147" s="259">
        <f>+H145+H137</f>
        <v>51650925.125906684</v>
      </c>
    </row>
    <row r="148" spans="1:9" ht="16.5" thickTop="1" thickBot="1">
      <c r="A148" s="86">
        <f t="shared" si="2"/>
        <v>139</v>
      </c>
      <c r="H148" s="256"/>
    </row>
    <row r="149" spans="1:9" ht="15.75" thickBot="1">
      <c r="A149" s="86">
        <f t="shared" si="2"/>
        <v>140</v>
      </c>
      <c r="C149" s="218" t="s">
        <v>248</v>
      </c>
      <c r="D149" s="2"/>
      <c r="E149" s="2"/>
      <c r="F149" s="2"/>
      <c r="G149" s="2"/>
      <c r="H149" s="2"/>
      <c r="I149" s="2"/>
    </row>
    <row r="150" spans="1:9">
      <c r="A150" s="86">
        <f t="shared" si="2"/>
        <v>141</v>
      </c>
      <c r="C150" s="1"/>
      <c r="H150"/>
    </row>
    <row r="151" spans="1:9">
      <c r="A151" s="86">
        <f t="shared" si="2"/>
        <v>142</v>
      </c>
      <c r="C151" s="1" t="s">
        <v>270</v>
      </c>
      <c r="H151" s="256"/>
    </row>
    <row r="152" spans="1:9">
      <c r="A152" s="86">
        <f t="shared" si="2"/>
        <v>143</v>
      </c>
      <c r="D152" t="s">
        <v>273</v>
      </c>
      <c r="F152" t="s">
        <v>271</v>
      </c>
      <c r="H152" s="256">
        <f>+'Schedule 10 TOTI'!D21</f>
        <v>563306.35434744845</v>
      </c>
    </row>
    <row r="153" spans="1:9">
      <c r="A153" s="86">
        <f t="shared" si="2"/>
        <v>144</v>
      </c>
      <c r="D153" t="s">
        <v>272</v>
      </c>
      <c r="F153" t="s">
        <v>271</v>
      </c>
      <c r="H153" s="256">
        <f>+'Schedule 10 TOTI'!D33</f>
        <v>6059474.9869674901</v>
      </c>
    </row>
    <row r="154" spans="1:9">
      <c r="A154" s="86">
        <f t="shared" si="2"/>
        <v>145</v>
      </c>
      <c r="D154" t="s">
        <v>1201</v>
      </c>
      <c r="F154" t="s">
        <v>271</v>
      </c>
      <c r="H154" s="258">
        <f>+'Schedule 10 TOTI'!E44</f>
        <v>1756068.4500000002</v>
      </c>
    </row>
    <row r="155" spans="1:9">
      <c r="A155" s="86">
        <f t="shared" si="2"/>
        <v>146</v>
      </c>
      <c r="C155" s="1"/>
      <c r="H155" s="256"/>
    </row>
    <row r="156" spans="1:9" ht="15.75" thickBot="1">
      <c r="A156" s="86">
        <f t="shared" si="2"/>
        <v>147</v>
      </c>
      <c r="C156" s="1" t="s">
        <v>268</v>
      </c>
      <c r="F156" t="s">
        <v>1202</v>
      </c>
      <c r="H156" s="259">
        <f>SUM(H152:H154)</f>
        <v>8378849.791314939</v>
      </c>
    </row>
    <row r="157" spans="1:9" ht="15.75" thickTop="1">
      <c r="A157" s="86">
        <f t="shared" si="2"/>
        <v>148</v>
      </c>
      <c r="H157" s="256"/>
    </row>
    <row r="158" spans="1:9">
      <c r="A158" s="86">
        <f t="shared" si="2"/>
        <v>149</v>
      </c>
      <c r="H158" s="256"/>
    </row>
    <row r="159" spans="1:9">
      <c r="A159" s="86">
        <f t="shared" si="2"/>
        <v>150</v>
      </c>
      <c r="H159" s="256"/>
    </row>
    <row r="160" spans="1:9" ht="15.75" thickBot="1">
      <c r="A160" s="86">
        <f t="shared" si="2"/>
        <v>151</v>
      </c>
      <c r="C160" s="1"/>
      <c r="H160" s="256"/>
    </row>
    <row r="161" spans="1:9" ht="15.75" thickBot="1">
      <c r="A161" s="86">
        <f t="shared" si="2"/>
        <v>152</v>
      </c>
      <c r="C161" s="218" t="s">
        <v>302</v>
      </c>
      <c r="D161" s="2"/>
      <c r="E161" s="2"/>
      <c r="F161" s="2"/>
      <c r="G161" s="2"/>
      <c r="H161" s="2"/>
      <c r="I161" s="2"/>
    </row>
    <row r="162" spans="1:9">
      <c r="A162" s="86">
        <f t="shared" si="2"/>
        <v>153</v>
      </c>
      <c r="C162" s="1"/>
      <c r="H162" s="256"/>
    </row>
    <row r="163" spans="1:9">
      <c r="A163" s="86">
        <f t="shared" si="2"/>
        <v>154</v>
      </c>
      <c r="C163" s="1" t="s">
        <v>350</v>
      </c>
      <c r="H163" s="256"/>
    </row>
    <row r="164" spans="1:9">
      <c r="A164" s="86">
        <f t="shared" si="2"/>
        <v>155</v>
      </c>
      <c r="C164" s="1"/>
      <c r="H164" s="256"/>
    </row>
    <row r="165" spans="1:9">
      <c r="A165" s="86">
        <f t="shared" si="2"/>
        <v>156</v>
      </c>
      <c r="C165" s="1"/>
      <c r="H165" s="256"/>
    </row>
    <row r="166" spans="1:9">
      <c r="A166" s="86">
        <f t="shared" si="2"/>
        <v>157</v>
      </c>
      <c r="D166" s="1" t="s">
        <v>305</v>
      </c>
      <c r="H166" s="256"/>
    </row>
    <row r="167" spans="1:9">
      <c r="A167" s="86">
        <f t="shared" si="2"/>
        <v>158</v>
      </c>
      <c r="D167" t="s">
        <v>200</v>
      </c>
      <c r="F167" t="s">
        <v>609</v>
      </c>
      <c r="H167" s="256">
        <f>+H99</f>
        <v>1266064767.6136401</v>
      </c>
    </row>
    <row r="168" spans="1:9">
      <c r="A168" s="86">
        <f t="shared" si="2"/>
        <v>159</v>
      </c>
      <c r="D168" t="s">
        <v>304</v>
      </c>
      <c r="F168" t="s">
        <v>1203</v>
      </c>
      <c r="H168" s="263">
        <f>+H258</f>
        <v>6.8400000000000002E-2</v>
      </c>
    </row>
    <row r="169" spans="1:9">
      <c r="A169" s="86">
        <f t="shared" si="2"/>
        <v>160</v>
      </c>
      <c r="D169" t="s">
        <v>303</v>
      </c>
      <c r="F169" t="s">
        <v>1463</v>
      </c>
      <c r="H169" s="253">
        <f>+H167*H168</f>
        <v>86598830.104772985</v>
      </c>
    </row>
    <row r="170" spans="1:9">
      <c r="A170" s="86">
        <f t="shared" si="2"/>
        <v>161</v>
      </c>
      <c r="D170" s="1"/>
      <c r="H170" s="253"/>
    </row>
    <row r="171" spans="1:9">
      <c r="A171" s="86">
        <f t="shared" si="2"/>
        <v>162</v>
      </c>
      <c r="D171" s="1" t="s">
        <v>356</v>
      </c>
      <c r="H171" s="253"/>
    </row>
    <row r="172" spans="1:9">
      <c r="A172" s="86">
        <f t="shared" si="2"/>
        <v>163</v>
      </c>
      <c r="D172" t="s">
        <v>200</v>
      </c>
      <c r="F172" t="s">
        <v>609</v>
      </c>
      <c r="H172" s="253">
        <f>+H167</f>
        <v>1266064767.6136401</v>
      </c>
    </row>
    <row r="173" spans="1:9">
      <c r="A173" s="86">
        <f t="shared" si="2"/>
        <v>164</v>
      </c>
      <c r="D173" t="s">
        <v>306</v>
      </c>
      <c r="F173" t="s">
        <v>1204</v>
      </c>
      <c r="H173" s="263">
        <f>+H255</f>
        <v>1.8100000000000002E-2</v>
      </c>
    </row>
    <row r="174" spans="1:9">
      <c r="A174" s="86">
        <f t="shared" si="2"/>
        <v>165</v>
      </c>
      <c r="D174" t="s">
        <v>354</v>
      </c>
      <c r="F174" t="s">
        <v>1205</v>
      </c>
      <c r="H174" s="256">
        <f>+H172*-H173</f>
        <v>-22915772.293806888</v>
      </c>
    </row>
    <row r="175" spans="1:9">
      <c r="A175" s="86">
        <f t="shared" si="2"/>
        <v>166</v>
      </c>
      <c r="D175" t="s">
        <v>346</v>
      </c>
      <c r="F175" t="s">
        <v>323</v>
      </c>
      <c r="H175" s="258">
        <f>+'Schedule 11 Income Tax'!F30</f>
        <v>-3456793.3</v>
      </c>
    </row>
    <row r="176" spans="1:9">
      <c r="A176" s="86">
        <f t="shared" si="2"/>
        <v>167</v>
      </c>
      <c r="D176" t="s">
        <v>315</v>
      </c>
      <c r="F176" t="s">
        <v>1206</v>
      </c>
      <c r="H176" s="256">
        <f>+H175+H174</f>
        <v>-26372565.593806889</v>
      </c>
    </row>
    <row r="177" spans="1:8">
      <c r="A177" s="86">
        <f t="shared" si="2"/>
        <v>168</v>
      </c>
      <c r="D177" s="1"/>
      <c r="H177" s="258"/>
    </row>
    <row r="178" spans="1:8">
      <c r="A178" s="86">
        <f t="shared" si="2"/>
        <v>169</v>
      </c>
      <c r="D178" s="1" t="s">
        <v>355</v>
      </c>
      <c r="F178" t="s">
        <v>1207</v>
      </c>
      <c r="H178" s="256">
        <f>+H169+H176</f>
        <v>60226264.510966092</v>
      </c>
    </row>
    <row r="179" spans="1:8">
      <c r="A179" s="86">
        <f t="shared" si="2"/>
        <v>170</v>
      </c>
      <c r="D179" s="1"/>
      <c r="H179" s="256"/>
    </row>
    <row r="180" spans="1:8">
      <c r="A180" s="86">
        <f t="shared" si="2"/>
        <v>171</v>
      </c>
      <c r="D180" s="1" t="s">
        <v>357</v>
      </c>
      <c r="H180" s="256"/>
    </row>
    <row r="181" spans="1:8">
      <c r="A181" s="86">
        <f t="shared" si="2"/>
        <v>172</v>
      </c>
      <c r="D181" t="s">
        <v>348</v>
      </c>
      <c r="F181" t="s">
        <v>323</v>
      </c>
      <c r="H181" s="256">
        <f>+'Schedule 11 Income Tax'!F41</f>
        <v>-2372279.5106306816</v>
      </c>
    </row>
    <row r="182" spans="1:8">
      <c r="A182" s="86">
        <f t="shared" si="2"/>
        <v>173</v>
      </c>
      <c r="D182" t="s">
        <v>349</v>
      </c>
      <c r="F182" t="s">
        <v>323</v>
      </c>
      <c r="H182" s="258">
        <f>+'Schedule 11 Income Tax'!F27+'Schedule 11 Income Tax'!F51</f>
        <v>0</v>
      </c>
    </row>
    <row r="183" spans="1:8">
      <c r="A183" s="86">
        <f t="shared" si="2"/>
        <v>174</v>
      </c>
      <c r="D183" t="s">
        <v>322</v>
      </c>
      <c r="F183" t="s">
        <v>1208</v>
      </c>
      <c r="H183" s="256">
        <f>+H182+H181</f>
        <v>-2372279.5106306816</v>
      </c>
    </row>
    <row r="184" spans="1:8">
      <c r="A184" s="86">
        <f t="shared" si="2"/>
        <v>175</v>
      </c>
      <c r="D184" s="1"/>
      <c r="H184" s="256"/>
    </row>
    <row r="185" spans="1:8">
      <c r="A185" s="86">
        <f t="shared" si="2"/>
        <v>176</v>
      </c>
      <c r="D185" s="1" t="s">
        <v>358</v>
      </c>
      <c r="H185" s="256"/>
    </row>
    <row r="186" spans="1:8">
      <c r="A186" s="86">
        <f t="shared" si="2"/>
        <v>177</v>
      </c>
      <c r="D186" t="s">
        <v>364</v>
      </c>
      <c r="F186" t="s">
        <v>1209</v>
      </c>
      <c r="H186" s="256">
        <f>+H178+H183</f>
        <v>57853985.00033541</v>
      </c>
    </row>
    <row r="187" spans="1:8">
      <c r="A187" s="86">
        <f t="shared" si="2"/>
        <v>178</v>
      </c>
      <c r="D187" t="s">
        <v>1558</v>
      </c>
      <c r="E187" t="s">
        <v>1252</v>
      </c>
      <c r="F187" t="s">
        <v>611</v>
      </c>
      <c r="H187" s="450">
        <f>H308/(1-H308)</f>
        <v>0.26582278481012656</v>
      </c>
    </row>
    <row r="188" spans="1:8">
      <c r="A188" s="86">
        <f t="shared" si="2"/>
        <v>179</v>
      </c>
      <c r="D188" t="s">
        <v>351</v>
      </c>
      <c r="F188" t="s">
        <v>1210</v>
      </c>
      <c r="H188" s="256">
        <f>+H186*H187</f>
        <v>15378907.405152449</v>
      </c>
    </row>
    <row r="189" spans="1:8">
      <c r="A189" s="86">
        <f t="shared" si="2"/>
        <v>180</v>
      </c>
      <c r="D189" s="1"/>
      <c r="H189" s="256"/>
    </row>
    <row r="190" spans="1:8">
      <c r="A190" s="86">
        <f t="shared" si="2"/>
        <v>181</v>
      </c>
      <c r="D190" s="1" t="s">
        <v>359</v>
      </c>
      <c r="H190" s="256"/>
    </row>
    <row r="191" spans="1:8">
      <c r="A191" s="86">
        <f t="shared" si="2"/>
        <v>182</v>
      </c>
      <c r="C191" s="1"/>
      <c r="D191" t="s">
        <v>348</v>
      </c>
      <c r="F191" t="s">
        <v>612</v>
      </c>
      <c r="H191" s="256">
        <f>+H181</f>
        <v>-2372279.5106306816</v>
      </c>
    </row>
    <row r="192" spans="1:8">
      <c r="A192" s="86">
        <f t="shared" si="2"/>
        <v>183</v>
      </c>
      <c r="D192" t="s">
        <v>352</v>
      </c>
      <c r="F192" t="s">
        <v>323</v>
      </c>
      <c r="H192" s="256">
        <f>+'Schedule 11 Income Tax'!F26</f>
        <v>0</v>
      </c>
    </row>
    <row r="193" spans="1:8">
      <c r="A193" s="86">
        <f t="shared" si="2"/>
        <v>184</v>
      </c>
      <c r="D193" t="s">
        <v>349</v>
      </c>
      <c r="F193" t="s">
        <v>1211</v>
      </c>
      <c r="H193" s="258">
        <f>+H182</f>
        <v>0</v>
      </c>
    </row>
    <row r="194" spans="1:8">
      <c r="A194" s="86">
        <f t="shared" si="2"/>
        <v>185</v>
      </c>
      <c r="D194" t="s">
        <v>353</v>
      </c>
      <c r="F194" t="s">
        <v>1212</v>
      </c>
      <c r="H194" s="256">
        <f>SUM(H191:H193)</f>
        <v>-2372279.5106306816</v>
      </c>
    </row>
    <row r="195" spans="1:8">
      <c r="A195" s="86">
        <f t="shared" si="2"/>
        <v>186</v>
      </c>
      <c r="C195" s="1"/>
      <c r="H195" s="258"/>
    </row>
    <row r="196" spans="1:8">
      <c r="A196" s="86">
        <f t="shared" si="2"/>
        <v>187</v>
      </c>
      <c r="C196" s="1" t="s">
        <v>360</v>
      </c>
      <c r="F196" s="47" t="s">
        <v>1213</v>
      </c>
      <c r="H196" s="264">
        <f>+H188+H194</f>
        <v>13006627.894521767</v>
      </c>
    </row>
    <row r="197" spans="1:8">
      <c r="A197" s="86">
        <f t="shared" si="2"/>
        <v>188</v>
      </c>
      <c r="C197" s="1"/>
      <c r="F197" s="47"/>
      <c r="H197" s="256"/>
    </row>
    <row r="198" spans="1:8">
      <c r="A198" s="86">
        <f t="shared" si="2"/>
        <v>189</v>
      </c>
      <c r="C198" s="1" t="s">
        <v>361</v>
      </c>
      <c r="F198" s="47"/>
      <c r="H198" s="256"/>
    </row>
    <row r="199" spans="1:8">
      <c r="A199" s="86">
        <f t="shared" si="2"/>
        <v>190</v>
      </c>
      <c r="D199" s="1"/>
      <c r="F199" s="47"/>
      <c r="H199" s="256"/>
    </row>
    <row r="200" spans="1:8">
      <c r="A200" s="86">
        <f t="shared" si="2"/>
        <v>191</v>
      </c>
      <c r="D200" s="1" t="s">
        <v>305</v>
      </c>
      <c r="F200" s="47" t="s">
        <v>1214</v>
      </c>
      <c r="H200" s="256">
        <f>+H169</f>
        <v>86598830.104772985</v>
      </c>
    </row>
    <row r="201" spans="1:8">
      <c r="A201" s="86">
        <f t="shared" si="2"/>
        <v>192</v>
      </c>
      <c r="D201" s="1"/>
      <c r="F201" s="47"/>
      <c r="H201" s="256"/>
    </row>
    <row r="202" spans="1:8">
      <c r="A202" s="86">
        <f t="shared" si="2"/>
        <v>193</v>
      </c>
      <c r="D202" s="1" t="s">
        <v>362</v>
      </c>
      <c r="F202" s="47"/>
      <c r="H202" s="256"/>
    </row>
    <row r="203" spans="1:8">
      <c r="A203" s="86">
        <f t="shared" si="2"/>
        <v>194</v>
      </c>
      <c r="D203" t="s">
        <v>354</v>
      </c>
      <c r="F203" s="47" t="s">
        <v>613</v>
      </c>
      <c r="H203" s="256">
        <f>+H174</f>
        <v>-22915772.293806888</v>
      </c>
    </row>
    <row r="204" spans="1:8">
      <c r="A204" s="86">
        <f t="shared" si="2"/>
        <v>195</v>
      </c>
      <c r="D204" t="s">
        <v>346</v>
      </c>
      <c r="F204" s="47" t="s">
        <v>1215</v>
      </c>
      <c r="H204" s="256">
        <f>+H175</f>
        <v>-3456793.3</v>
      </c>
    </row>
    <row r="205" spans="1:8">
      <c r="A205" s="86">
        <f t="shared" ref="A205:A268" si="3">+A204+1</f>
        <v>196</v>
      </c>
      <c r="D205" t="s">
        <v>1216</v>
      </c>
      <c r="F205" s="47" t="s">
        <v>1217</v>
      </c>
      <c r="H205" s="256">
        <f>-H192-'Schedule 11 Income Tax'!F27</f>
        <v>0</v>
      </c>
    </row>
    <row r="206" spans="1:8">
      <c r="A206" s="86">
        <f t="shared" si="3"/>
        <v>197</v>
      </c>
      <c r="D206" t="s">
        <v>360</v>
      </c>
      <c r="F206" s="47" t="s">
        <v>1218</v>
      </c>
      <c r="H206" s="258">
        <f>+H196</f>
        <v>13006627.894521767</v>
      </c>
    </row>
    <row r="207" spans="1:8">
      <c r="A207" s="86">
        <f t="shared" si="3"/>
        <v>198</v>
      </c>
      <c r="D207" t="s">
        <v>363</v>
      </c>
      <c r="F207" t="s">
        <v>1219</v>
      </c>
      <c r="H207" s="256">
        <f>SUM(H203:H206)</f>
        <v>-13365937.699285122</v>
      </c>
    </row>
    <row r="208" spans="1:8">
      <c r="A208" s="86">
        <f t="shared" si="3"/>
        <v>199</v>
      </c>
      <c r="D208" s="1"/>
      <c r="F208" s="47"/>
      <c r="H208" s="258"/>
    </row>
    <row r="209" spans="1:9">
      <c r="A209" s="86">
        <f t="shared" si="3"/>
        <v>200</v>
      </c>
      <c r="D209" s="1" t="s">
        <v>365</v>
      </c>
      <c r="F209" t="s">
        <v>1220</v>
      </c>
      <c r="H209" s="256">
        <f>+H200+H207</f>
        <v>73232892.405487865</v>
      </c>
    </row>
    <row r="210" spans="1:9">
      <c r="A210" s="86">
        <f t="shared" si="3"/>
        <v>201</v>
      </c>
      <c r="D210" s="1"/>
      <c r="H210" s="256"/>
    </row>
    <row r="211" spans="1:9">
      <c r="A211" s="86">
        <f t="shared" si="3"/>
        <v>202</v>
      </c>
      <c r="D211" s="1" t="s">
        <v>366</v>
      </c>
      <c r="H211" s="256"/>
    </row>
    <row r="212" spans="1:9">
      <c r="A212" s="86">
        <f t="shared" si="3"/>
        <v>203</v>
      </c>
      <c r="D212" t="s">
        <v>365</v>
      </c>
      <c r="F212" t="s">
        <v>1221</v>
      </c>
      <c r="H212" s="256">
        <f>+H209</f>
        <v>73232892.405487865</v>
      </c>
    </row>
    <row r="213" spans="1:9">
      <c r="A213" s="86">
        <f t="shared" si="3"/>
        <v>204</v>
      </c>
      <c r="D213" t="s">
        <v>367</v>
      </c>
      <c r="E213" t="s">
        <v>1252</v>
      </c>
      <c r="H213" s="451">
        <f>H309</f>
        <v>5.8999999999999997E-2</v>
      </c>
    </row>
    <row r="214" spans="1:9">
      <c r="A214" s="86">
        <f t="shared" si="3"/>
        <v>205</v>
      </c>
      <c r="C214" s="1"/>
      <c r="H214" s="254"/>
    </row>
    <row r="215" spans="1:9">
      <c r="A215" s="86">
        <f t="shared" si="3"/>
        <v>206</v>
      </c>
      <c r="C215" s="1" t="s">
        <v>368</v>
      </c>
      <c r="F215" s="47" t="s">
        <v>1222</v>
      </c>
      <c r="H215" s="264">
        <f>+H212*H213</f>
        <v>4320740.6519237841</v>
      </c>
    </row>
    <row r="216" spans="1:9">
      <c r="A216" s="86">
        <f t="shared" si="3"/>
        <v>207</v>
      </c>
      <c r="C216" s="1"/>
      <c r="F216" s="47"/>
      <c r="H216" s="256"/>
    </row>
    <row r="217" spans="1:9" ht="15.75" thickBot="1">
      <c r="A217" s="86">
        <f t="shared" si="3"/>
        <v>208</v>
      </c>
      <c r="C217" s="1" t="s">
        <v>369</v>
      </c>
      <c r="F217" s="47" t="s">
        <v>1223</v>
      </c>
      <c r="H217" s="259">
        <f>+H215+H196</f>
        <v>17327368.546445552</v>
      </c>
    </row>
    <row r="218" spans="1:9" ht="16.5" thickTop="1" thickBot="1">
      <c r="A218" s="86">
        <f t="shared" si="3"/>
        <v>209</v>
      </c>
      <c r="C218" s="1"/>
      <c r="F218" s="93"/>
      <c r="H218" s="253"/>
    </row>
    <row r="219" spans="1:9" ht="15.75" thickBot="1">
      <c r="A219" s="86">
        <f t="shared" si="3"/>
        <v>210</v>
      </c>
      <c r="C219" s="218" t="s">
        <v>274</v>
      </c>
      <c r="D219" s="2"/>
      <c r="E219" s="2"/>
      <c r="F219" s="2" t="s">
        <v>1224</v>
      </c>
      <c r="G219" s="2"/>
      <c r="H219" s="339">
        <f>+H156+H147+H127+H217</f>
        <v>112211902.40996325</v>
      </c>
      <c r="I219" s="2"/>
    </row>
    <row r="220" spans="1:9" ht="15.75" thickBot="1">
      <c r="A220" s="86">
        <f t="shared" si="3"/>
        <v>211</v>
      </c>
      <c r="B220" s="1"/>
      <c r="C220" s="1"/>
      <c r="H220" s="253"/>
    </row>
    <row r="221" spans="1:9" ht="15.75" thickBot="1">
      <c r="A221" s="86">
        <f t="shared" si="3"/>
        <v>212</v>
      </c>
      <c r="B221" s="218" t="s">
        <v>370</v>
      </c>
      <c r="C221" s="2"/>
      <c r="D221" s="2"/>
      <c r="E221" s="2"/>
      <c r="F221" s="2"/>
      <c r="G221" s="2"/>
      <c r="H221" s="219"/>
      <c r="I221" s="219"/>
    </row>
    <row r="222" spans="1:9">
      <c r="A222" s="86">
        <f t="shared" si="3"/>
        <v>213</v>
      </c>
      <c r="C222" s="1"/>
      <c r="H222" s="253"/>
    </row>
    <row r="223" spans="1:9">
      <c r="A223" s="86">
        <f t="shared" si="3"/>
        <v>214</v>
      </c>
      <c r="C223" s="1" t="s">
        <v>371</v>
      </c>
      <c r="H223" s="256"/>
    </row>
    <row r="224" spans="1:9">
      <c r="A224" s="86">
        <f t="shared" si="3"/>
        <v>215</v>
      </c>
      <c r="D224" t="s">
        <v>371</v>
      </c>
      <c r="F224" t="s">
        <v>816</v>
      </c>
      <c r="H224" s="254">
        <f>+'Schedule 15 Interest Expense'!D25</f>
        <v>77947966</v>
      </c>
    </row>
    <row r="225" spans="1:8">
      <c r="A225" s="86">
        <f t="shared" si="3"/>
        <v>216</v>
      </c>
      <c r="D225" s="1" t="s">
        <v>372</v>
      </c>
      <c r="F225" t="s">
        <v>1225</v>
      </c>
      <c r="H225" s="256">
        <f>+H224</f>
        <v>77947966</v>
      </c>
    </row>
    <row r="226" spans="1:8">
      <c r="A226" s="86">
        <f t="shared" si="3"/>
        <v>217</v>
      </c>
      <c r="C226" s="1"/>
      <c r="H226" s="256"/>
    </row>
    <row r="227" spans="1:8">
      <c r="A227" s="86">
        <f t="shared" si="3"/>
        <v>218</v>
      </c>
      <c r="C227" s="1" t="s">
        <v>885</v>
      </c>
      <c r="F227" t="s">
        <v>373</v>
      </c>
      <c r="H227" s="253">
        <f>-'FERC Form 1 Inputs'!L17</f>
        <v>528042</v>
      </c>
    </row>
    <row r="228" spans="1:8">
      <c r="A228" s="86">
        <f t="shared" si="3"/>
        <v>219</v>
      </c>
      <c r="C228" s="1"/>
      <c r="H228" s="256"/>
    </row>
    <row r="229" spans="1:8">
      <c r="A229" s="86">
        <f t="shared" si="3"/>
        <v>220</v>
      </c>
      <c r="C229" s="1" t="s">
        <v>374</v>
      </c>
      <c r="H229" s="256"/>
    </row>
    <row r="230" spans="1:8">
      <c r="A230" s="86">
        <f t="shared" si="3"/>
        <v>221</v>
      </c>
      <c r="D230" s="224" t="s">
        <v>375</v>
      </c>
      <c r="F230" t="s">
        <v>376</v>
      </c>
      <c r="H230" s="253">
        <f>+'FERC Form 1 Inputs'!L10</f>
        <v>2149020008</v>
      </c>
    </row>
    <row r="231" spans="1:8">
      <c r="A231" s="86">
        <f t="shared" si="3"/>
        <v>222</v>
      </c>
      <c r="D231" s="224" t="s">
        <v>377</v>
      </c>
      <c r="F231" t="s">
        <v>378</v>
      </c>
      <c r="H231" s="253">
        <f>+'FERC Form 1 Inputs'!L7</f>
        <v>11529299</v>
      </c>
    </row>
    <row r="232" spans="1:8">
      <c r="A232" s="86">
        <f t="shared" si="3"/>
        <v>223</v>
      </c>
      <c r="D232" t="s">
        <v>943</v>
      </c>
      <c r="F232" t="s">
        <v>945</v>
      </c>
      <c r="H232" s="253">
        <f>+'FERC Form 1 Inputs'!L8</f>
        <v>0</v>
      </c>
    </row>
    <row r="233" spans="1:8">
      <c r="A233" s="86">
        <f t="shared" si="3"/>
        <v>224</v>
      </c>
      <c r="D233" t="s">
        <v>660</v>
      </c>
      <c r="F233" t="s">
        <v>379</v>
      </c>
      <c r="H233" s="253">
        <f>+'FERC Form 1 Inputs'!L9</f>
        <v>-75707581</v>
      </c>
    </row>
    <row r="234" spans="1:8">
      <c r="A234" s="86">
        <f t="shared" si="3"/>
        <v>225</v>
      </c>
      <c r="D234" t="s">
        <v>944</v>
      </c>
      <c r="F234" t="s">
        <v>1644</v>
      </c>
      <c r="H234" s="254">
        <f>+'FERC Form 1 Inputs'!L31</f>
        <v>51632295</v>
      </c>
    </row>
    <row r="235" spans="1:8">
      <c r="A235" s="86">
        <f t="shared" si="3"/>
        <v>226</v>
      </c>
      <c r="D235" s="1" t="s">
        <v>374</v>
      </c>
      <c r="F235" t="s">
        <v>1226</v>
      </c>
      <c r="H235" s="256">
        <f>+H230-H231-H232-H233-H234</f>
        <v>2161565995</v>
      </c>
    </row>
    <row r="236" spans="1:8">
      <c r="A236" s="86">
        <f t="shared" si="3"/>
        <v>227</v>
      </c>
      <c r="C236" s="1"/>
      <c r="H236" s="253"/>
    </row>
    <row r="237" spans="1:8">
      <c r="A237" s="86">
        <f t="shared" si="3"/>
        <v>228</v>
      </c>
      <c r="C237" s="1" t="s">
        <v>380</v>
      </c>
      <c r="H237" s="253"/>
    </row>
    <row r="238" spans="1:8">
      <c r="A238" s="86">
        <f t="shared" si="3"/>
        <v>229</v>
      </c>
      <c r="D238" t="s">
        <v>380</v>
      </c>
      <c r="F238" t="s">
        <v>381</v>
      </c>
      <c r="H238" s="254">
        <f>+'FERC Form 1 Inputs'!L11</f>
        <v>2129304459</v>
      </c>
    </row>
    <row r="239" spans="1:8">
      <c r="A239" s="86">
        <f t="shared" si="3"/>
        <v>230</v>
      </c>
      <c r="D239" t="s">
        <v>382</v>
      </c>
      <c r="F239" t="s">
        <v>614</v>
      </c>
      <c r="H239" s="256">
        <f>SUM(H238)</f>
        <v>2129304459</v>
      </c>
    </row>
    <row r="240" spans="1:8">
      <c r="A240" s="86">
        <f t="shared" si="3"/>
        <v>231</v>
      </c>
      <c r="C240" s="1"/>
      <c r="H240" s="256"/>
    </row>
    <row r="241" spans="1:8">
      <c r="A241" s="86">
        <f t="shared" si="3"/>
        <v>232</v>
      </c>
      <c r="C241" s="1" t="s">
        <v>383</v>
      </c>
      <c r="H241" s="256"/>
    </row>
    <row r="242" spans="1:8">
      <c r="A242" s="86">
        <f t="shared" si="3"/>
        <v>233</v>
      </c>
      <c r="D242" t="s">
        <v>380</v>
      </c>
      <c r="F242" t="s">
        <v>1227</v>
      </c>
      <c r="H242" s="256">
        <f>+H239</f>
        <v>2129304459</v>
      </c>
    </row>
    <row r="243" spans="1:8">
      <c r="A243" s="86">
        <f t="shared" si="3"/>
        <v>234</v>
      </c>
      <c r="D243" t="s">
        <v>384</v>
      </c>
      <c r="F243" t="s">
        <v>1228</v>
      </c>
      <c r="H243" s="256">
        <f>+H231</f>
        <v>11529299</v>
      </c>
    </row>
    <row r="244" spans="1:8">
      <c r="A244" s="86">
        <f t="shared" si="3"/>
        <v>235</v>
      </c>
      <c r="D244" t="s">
        <v>374</v>
      </c>
      <c r="F244" t="s">
        <v>1229</v>
      </c>
      <c r="H244" s="258">
        <f>+H235</f>
        <v>2161565995</v>
      </c>
    </row>
    <row r="245" spans="1:8">
      <c r="A245" s="86">
        <f t="shared" si="3"/>
        <v>236</v>
      </c>
      <c r="D245" s="1" t="s">
        <v>385</v>
      </c>
      <c r="F245" t="s">
        <v>1230</v>
      </c>
      <c r="H245" s="256">
        <f>SUM(H242:H244)</f>
        <v>4302399753</v>
      </c>
    </row>
    <row r="246" spans="1:8">
      <c r="A246" s="86">
        <f t="shared" si="3"/>
        <v>237</v>
      </c>
      <c r="H246" s="256"/>
    </row>
    <row r="247" spans="1:8">
      <c r="A247" s="86">
        <f t="shared" si="3"/>
        <v>238</v>
      </c>
      <c r="D247" t="s">
        <v>386</v>
      </c>
      <c r="F247" t="s">
        <v>1231</v>
      </c>
      <c r="H247" s="261">
        <f>+H242/H245</f>
        <v>0.49491088258715787</v>
      </c>
    </row>
    <row r="248" spans="1:8">
      <c r="A248" s="86">
        <f t="shared" si="3"/>
        <v>239</v>
      </c>
      <c r="D248" t="s">
        <v>387</v>
      </c>
      <c r="F248" t="s">
        <v>1232</v>
      </c>
      <c r="H248" s="261">
        <f>+H243/H245</f>
        <v>2.6797368124523505E-3</v>
      </c>
    </row>
    <row r="249" spans="1:8">
      <c r="A249" s="86">
        <f t="shared" si="3"/>
        <v>240</v>
      </c>
      <c r="D249" t="s">
        <v>388</v>
      </c>
      <c r="F249" t="s">
        <v>1233</v>
      </c>
      <c r="H249" s="261">
        <f>+H244/H245</f>
        <v>0.50240938060038975</v>
      </c>
    </row>
    <row r="250" spans="1:8">
      <c r="A250" s="86">
        <f t="shared" si="3"/>
        <v>241</v>
      </c>
      <c r="H250" s="256"/>
    </row>
    <row r="251" spans="1:8">
      <c r="A251" s="86">
        <f t="shared" si="3"/>
        <v>242</v>
      </c>
      <c r="D251" t="s">
        <v>389</v>
      </c>
      <c r="F251" t="s">
        <v>1234</v>
      </c>
      <c r="H251" s="265">
        <f>ROUND(+H224/H242,4)</f>
        <v>3.6600000000000001E-2</v>
      </c>
    </row>
    <row r="252" spans="1:8">
      <c r="A252" s="86">
        <f t="shared" si="3"/>
        <v>243</v>
      </c>
      <c r="D252" t="s">
        <v>390</v>
      </c>
      <c r="F252" t="s">
        <v>1235</v>
      </c>
      <c r="H252" s="265">
        <f>ROUND(+H227/H243,4)</f>
        <v>4.58E-2</v>
      </c>
    </row>
    <row r="253" spans="1:8">
      <c r="A253" s="86">
        <f t="shared" si="3"/>
        <v>244</v>
      </c>
      <c r="D253" t="s">
        <v>391</v>
      </c>
      <c r="E253" t="s">
        <v>1253</v>
      </c>
      <c r="H253" s="447">
        <v>0.1</v>
      </c>
    </row>
    <row r="254" spans="1:8">
      <c r="A254" s="86">
        <f t="shared" si="3"/>
        <v>245</v>
      </c>
      <c r="H254" s="256"/>
    </row>
    <row r="255" spans="1:8">
      <c r="A255" s="86">
        <f t="shared" si="3"/>
        <v>246</v>
      </c>
      <c r="D255" t="s">
        <v>392</v>
      </c>
      <c r="F255" t="s">
        <v>615</v>
      </c>
      <c r="H255" s="265">
        <f>ROUND(+H247*H251,4)</f>
        <v>1.8100000000000002E-2</v>
      </c>
    </row>
    <row r="256" spans="1:8">
      <c r="A256" s="86">
        <f t="shared" si="3"/>
        <v>247</v>
      </c>
      <c r="D256" t="s">
        <v>393</v>
      </c>
      <c r="F256" t="s">
        <v>616</v>
      </c>
      <c r="H256" s="265">
        <f>ROUND(+H248*H252,4)</f>
        <v>1E-4</v>
      </c>
    </row>
    <row r="257" spans="1:9">
      <c r="A257" s="86">
        <f t="shared" si="3"/>
        <v>248</v>
      </c>
      <c r="D257" t="s">
        <v>394</v>
      </c>
      <c r="F257" t="s">
        <v>1236</v>
      </c>
      <c r="H257" s="262">
        <f>ROUND(+H249*H253,4)</f>
        <v>5.0200000000000002E-2</v>
      </c>
    </row>
    <row r="258" spans="1:9">
      <c r="A258" s="86">
        <f t="shared" si="3"/>
        <v>249</v>
      </c>
      <c r="D258" s="1" t="s">
        <v>395</v>
      </c>
      <c r="F258" t="s">
        <v>1237</v>
      </c>
      <c r="H258" s="265">
        <f>SUM(H255:H257)</f>
        <v>6.8400000000000002E-2</v>
      </c>
    </row>
    <row r="259" spans="1:9">
      <c r="A259" s="86">
        <f t="shared" si="3"/>
        <v>250</v>
      </c>
      <c r="B259" s="1"/>
      <c r="H259" s="256"/>
    </row>
    <row r="260" spans="1:9">
      <c r="A260" s="86">
        <f t="shared" si="3"/>
        <v>251</v>
      </c>
      <c r="B260" s="1" t="s">
        <v>303</v>
      </c>
      <c r="F260" t="s">
        <v>1238</v>
      </c>
      <c r="H260" s="299">
        <f>+H258*H99</f>
        <v>86598830.104772985</v>
      </c>
    </row>
    <row r="261" spans="1:9" ht="15.75" thickBot="1">
      <c r="A261" s="86">
        <f t="shared" si="3"/>
        <v>252</v>
      </c>
      <c r="B261" s="1"/>
      <c r="H261" s="256"/>
    </row>
    <row r="262" spans="1:9" ht="15.75" thickBot="1">
      <c r="A262" s="86">
        <f t="shared" si="3"/>
        <v>253</v>
      </c>
      <c r="B262" s="218" t="s">
        <v>397</v>
      </c>
      <c r="C262" s="2"/>
      <c r="D262" s="2"/>
      <c r="E262" s="2"/>
      <c r="F262" s="2"/>
      <c r="G262" s="2"/>
      <c r="H262" s="338"/>
      <c r="I262" s="338"/>
    </row>
    <row r="263" spans="1:9">
      <c r="A263" s="86">
        <f t="shared" si="3"/>
        <v>254</v>
      </c>
      <c r="H263" s="256"/>
    </row>
    <row r="264" spans="1:9">
      <c r="A264" s="86">
        <f t="shared" si="3"/>
        <v>255</v>
      </c>
      <c r="D264" t="s">
        <v>398</v>
      </c>
      <c r="F264" t="s">
        <v>609</v>
      </c>
      <c r="H264" s="256">
        <f>+H99</f>
        <v>1266064767.6136401</v>
      </c>
    </row>
    <row r="265" spans="1:9">
      <c r="A265" s="86">
        <f t="shared" si="3"/>
        <v>256</v>
      </c>
      <c r="H265" s="256"/>
    </row>
    <row r="266" spans="1:9">
      <c r="A266" s="86">
        <f t="shared" si="3"/>
        <v>257</v>
      </c>
      <c r="D266" t="s">
        <v>399</v>
      </c>
      <c r="F266" t="s">
        <v>1239</v>
      </c>
      <c r="H266" s="256">
        <f>+H127</f>
        <v>34854758.946296081</v>
      </c>
    </row>
    <row r="267" spans="1:9">
      <c r="A267" s="86">
        <f t="shared" si="3"/>
        <v>258</v>
      </c>
      <c r="D267" t="s">
        <v>400</v>
      </c>
      <c r="F267" t="s">
        <v>1240</v>
      </c>
      <c r="H267" s="256">
        <f>+H147</f>
        <v>51650925.125906684</v>
      </c>
    </row>
    <row r="268" spans="1:9">
      <c r="A268" s="86">
        <f t="shared" si="3"/>
        <v>259</v>
      </c>
      <c r="D268" t="s">
        <v>270</v>
      </c>
      <c r="F268" t="s">
        <v>1241</v>
      </c>
      <c r="H268" s="256">
        <f>+H156</f>
        <v>8378849.791314939</v>
      </c>
    </row>
    <row r="269" spans="1:9">
      <c r="A269" s="86">
        <f t="shared" ref="A269:A291" si="4">+A268+1</f>
        <v>260</v>
      </c>
      <c r="H269" s="253"/>
    </row>
    <row r="270" spans="1:9">
      <c r="A270" s="86">
        <f t="shared" si="4"/>
        <v>261</v>
      </c>
      <c r="D270" t="s">
        <v>302</v>
      </c>
      <c r="F270" t="s">
        <v>1242</v>
      </c>
      <c r="H270" s="256">
        <f>+H217</f>
        <v>17327368.546445552</v>
      </c>
    </row>
    <row r="271" spans="1:9">
      <c r="A271" s="86">
        <f t="shared" si="4"/>
        <v>262</v>
      </c>
      <c r="D271" t="s">
        <v>303</v>
      </c>
      <c r="F271" t="s">
        <v>1243</v>
      </c>
      <c r="H271" s="258">
        <f>+H260</f>
        <v>86598830.104772985</v>
      </c>
    </row>
    <row r="272" spans="1:9">
      <c r="A272" s="86">
        <f t="shared" si="4"/>
        <v>263</v>
      </c>
      <c r="C272" s="1"/>
      <c r="H272" s="253"/>
    </row>
    <row r="273" spans="1:9">
      <c r="A273" s="86">
        <f t="shared" si="4"/>
        <v>264</v>
      </c>
      <c r="C273" s="1" t="s">
        <v>401</v>
      </c>
      <c r="F273" t="s">
        <v>1244</v>
      </c>
      <c r="H273" s="253">
        <f>SUM(H266:H271)</f>
        <v>198810732.51473624</v>
      </c>
    </row>
    <row r="274" spans="1:9">
      <c r="A274" s="86">
        <f t="shared" si="4"/>
        <v>265</v>
      </c>
      <c r="C274" s="1"/>
      <c r="H274" s="254"/>
    </row>
    <row r="275" spans="1:9">
      <c r="A275" s="86">
        <f t="shared" si="4"/>
        <v>266</v>
      </c>
      <c r="C275" s="1" t="s">
        <v>401</v>
      </c>
      <c r="F275" t="s">
        <v>1245</v>
      </c>
      <c r="H275" s="268">
        <f>+H273</f>
        <v>198810732.51473624</v>
      </c>
    </row>
    <row r="276" spans="1:9">
      <c r="A276" s="86">
        <f t="shared" si="4"/>
        <v>267</v>
      </c>
      <c r="H276" s="253"/>
    </row>
    <row r="277" spans="1:9" ht="15.75" thickBot="1">
      <c r="A277" s="86">
        <f t="shared" si="4"/>
        <v>268</v>
      </c>
      <c r="B277" s="1"/>
      <c r="H277" s="253"/>
    </row>
    <row r="278" spans="1:9" ht="15.75" thickBot="1">
      <c r="A278" s="86">
        <f t="shared" si="4"/>
        <v>269</v>
      </c>
      <c r="B278" s="218" t="s">
        <v>402</v>
      </c>
      <c r="C278" s="2"/>
      <c r="D278" s="2"/>
      <c r="E278" s="2"/>
      <c r="F278" s="2"/>
      <c r="G278" s="2"/>
      <c r="H278" s="338"/>
      <c r="I278" s="338"/>
    </row>
    <row r="279" spans="1:9">
      <c r="A279" s="86">
        <f t="shared" si="4"/>
        <v>270</v>
      </c>
      <c r="H279" s="253"/>
    </row>
    <row r="280" spans="1:9">
      <c r="A280" s="86">
        <f t="shared" si="4"/>
        <v>271</v>
      </c>
      <c r="C280" t="s">
        <v>415</v>
      </c>
      <c r="E280" t="s">
        <v>1254</v>
      </c>
      <c r="F280" t="s">
        <v>756</v>
      </c>
      <c r="H280" s="253"/>
    </row>
    <row r="281" spans="1:9">
      <c r="A281" s="86">
        <f t="shared" si="4"/>
        <v>272</v>
      </c>
      <c r="D281" t="s">
        <v>416</v>
      </c>
      <c r="F281" t="s">
        <v>617</v>
      </c>
      <c r="H281" s="253">
        <f>'Schedule 12 Revenue Credits'!$D$10</f>
        <v>4143038.9299999983</v>
      </c>
    </row>
    <row r="282" spans="1:9">
      <c r="A282" s="86">
        <f t="shared" si="4"/>
        <v>273</v>
      </c>
      <c r="D282" t="s">
        <v>417</v>
      </c>
      <c r="F282" t="s">
        <v>617</v>
      </c>
      <c r="H282" s="253">
        <f>'Schedule 12 Revenue Credits'!$D$11</f>
        <v>0</v>
      </c>
    </row>
    <row r="283" spans="1:9">
      <c r="A283" s="86">
        <f t="shared" si="4"/>
        <v>274</v>
      </c>
      <c r="D283" t="s">
        <v>525</v>
      </c>
      <c r="F283" t="s">
        <v>617</v>
      </c>
      <c r="H283" s="253">
        <f>+'Schedule 12 Revenue Credits'!D14</f>
        <v>0</v>
      </c>
    </row>
    <row r="284" spans="1:9">
      <c r="A284" s="86">
        <f t="shared" si="4"/>
        <v>275</v>
      </c>
      <c r="C284" s="1"/>
      <c r="D284" t="s">
        <v>418</v>
      </c>
      <c r="F284" s="220" t="s">
        <v>617</v>
      </c>
      <c r="H284" s="253">
        <f>+'Schedule 12 Revenue Credits'!D21</f>
        <v>489316.59999999992</v>
      </c>
    </row>
    <row r="285" spans="1:9">
      <c r="A285" s="86">
        <f t="shared" si="4"/>
        <v>276</v>
      </c>
      <c r="C285" s="1" t="s">
        <v>419</v>
      </c>
      <c r="F285" t="s">
        <v>1246</v>
      </c>
      <c r="H285" s="253">
        <f>SUM(H281:H284)</f>
        <v>4632355.5299999984</v>
      </c>
    </row>
    <row r="286" spans="1:9" ht="15.75" thickBot="1">
      <c r="A286" s="86">
        <f t="shared" si="4"/>
        <v>277</v>
      </c>
      <c r="B286" s="1"/>
      <c r="H286" s="253"/>
    </row>
    <row r="287" spans="1:9" ht="15.75" thickBot="1">
      <c r="A287" s="86">
        <f t="shared" si="4"/>
        <v>278</v>
      </c>
      <c r="B287" s="218" t="s">
        <v>655</v>
      </c>
      <c r="C287" s="2"/>
      <c r="D287" s="2"/>
      <c r="E287" s="2"/>
      <c r="F287" s="2"/>
      <c r="G287" s="2"/>
      <c r="H287" s="338"/>
      <c r="I287" s="338"/>
    </row>
    <row r="288" spans="1:9">
      <c r="A288" s="86">
        <f t="shared" si="4"/>
        <v>279</v>
      </c>
      <c r="C288" s="1"/>
      <c r="H288" s="253"/>
    </row>
    <row r="289" spans="1:8">
      <c r="A289" s="86">
        <f t="shared" si="4"/>
        <v>280</v>
      </c>
      <c r="C289" s="1" t="s">
        <v>655</v>
      </c>
      <c r="F289" t="s">
        <v>1247</v>
      </c>
      <c r="H289" s="253">
        <f>+H275-H285</f>
        <v>194178376.98473623</v>
      </c>
    </row>
    <row r="290" spans="1:8">
      <c r="A290" s="86">
        <f t="shared" si="4"/>
        <v>281</v>
      </c>
      <c r="C290" s="1"/>
      <c r="H290" s="254"/>
    </row>
    <row r="291" spans="1:8" ht="15.75" thickBot="1">
      <c r="A291" s="86">
        <f t="shared" si="4"/>
        <v>282</v>
      </c>
      <c r="C291" s="1" t="s">
        <v>655</v>
      </c>
      <c r="E291" t="s">
        <v>1255</v>
      </c>
      <c r="F291" t="s">
        <v>1248</v>
      </c>
      <c r="H291" s="266">
        <f>+H289</f>
        <v>194178376.98473623</v>
      </c>
    </row>
    <row r="292" spans="1:8" ht="15.75" thickTop="1">
      <c r="A292" s="86"/>
      <c r="B292" s="93"/>
      <c r="H292" s="253"/>
    </row>
    <row r="293" spans="1:8">
      <c r="A293" s="86"/>
      <c r="B293" s="93"/>
      <c r="H293" s="253"/>
    </row>
    <row r="294" spans="1:8">
      <c r="A294" s="86"/>
      <c r="B294" s="93"/>
      <c r="H294" s="253"/>
    </row>
    <row r="295" spans="1:8">
      <c r="A295" s="86"/>
      <c r="H295" s="256"/>
    </row>
    <row r="296" spans="1:8">
      <c r="A296" s="86"/>
      <c r="H296" s="256"/>
    </row>
    <row r="297" spans="1:8">
      <c r="A297" s="86"/>
      <c r="B297" t="s">
        <v>106</v>
      </c>
      <c r="D297" t="s">
        <v>1257</v>
      </c>
      <c r="H297" s="256"/>
    </row>
    <row r="298" spans="1:8">
      <c r="A298" s="86"/>
      <c r="B298" t="s">
        <v>756</v>
      </c>
      <c r="D298" t="s">
        <v>1258</v>
      </c>
      <c r="H298" s="256"/>
    </row>
    <row r="299" spans="1:8">
      <c r="A299" s="86"/>
      <c r="B299" t="s">
        <v>852</v>
      </c>
      <c r="D299" t="s">
        <v>1259</v>
      </c>
      <c r="H299" s="256"/>
    </row>
    <row r="300" spans="1:8">
      <c r="A300" s="86"/>
      <c r="D300" t="s">
        <v>1260</v>
      </c>
      <c r="H300" s="256"/>
    </row>
    <row r="301" spans="1:8">
      <c r="A301" s="86"/>
      <c r="B301" t="s">
        <v>697</v>
      </c>
      <c r="D301" t="s">
        <v>1261</v>
      </c>
      <c r="H301" s="256"/>
    </row>
    <row r="302" spans="1:8">
      <c r="A302" s="86"/>
      <c r="D302" t="s">
        <v>1262</v>
      </c>
      <c r="H302" s="256"/>
    </row>
    <row r="303" spans="1:8">
      <c r="A303" s="86"/>
      <c r="B303" t="s">
        <v>901</v>
      </c>
      <c r="D303" t="s">
        <v>1263</v>
      </c>
      <c r="H303" s="256"/>
    </row>
    <row r="304" spans="1:8">
      <c r="A304" s="86"/>
      <c r="B304" t="s">
        <v>902</v>
      </c>
      <c r="D304" t="s">
        <v>1264</v>
      </c>
      <c r="H304" s="256"/>
    </row>
    <row r="305" spans="1:15">
      <c r="A305" s="86"/>
      <c r="B305" t="s">
        <v>1251</v>
      </c>
      <c r="D305" t="s">
        <v>1433</v>
      </c>
      <c r="H305" s="253"/>
    </row>
    <row r="306" spans="1:15" ht="46.5" customHeight="1">
      <c r="A306" s="86"/>
      <c r="B306" s="452" t="s">
        <v>1252</v>
      </c>
      <c r="D306" s="595" t="s">
        <v>1578</v>
      </c>
      <c r="E306" s="595"/>
      <c r="F306" s="595"/>
      <c r="G306" s="595"/>
      <c r="H306" s="595"/>
    </row>
    <row r="307" spans="1:15">
      <c r="A307" s="86"/>
      <c r="H307" s="253"/>
    </row>
    <row r="308" spans="1:15">
      <c r="A308" s="86"/>
      <c r="C308" s="453"/>
      <c r="D308" s="200"/>
      <c r="E308" s="200"/>
      <c r="F308" s="454" t="s">
        <v>1567</v>
      </c>
      <c r="G308" s="200"/>
      <c r="H308" s="342">
        <v>0.21</v>
      </c>
    </row>
    <row r="309" spans="1:15">
      <c r="A309" s="86"/>
      <c r="C309" s="453"/>
      <c r="D309" s="200"/>
      <c r="E309" s="200"/>
      <c r="F309" s="454" t="s">
        <v>1568</v>
      </c>
      <c r="G309" s="200"/>
      <c r="H309" s="342">
        <v>5.8999999999999997E-2</v>
      </c>
    </row>
    <row r="310" spans="1:15">
      <c r="A310" s="86"/>
      <c r="C310" s="453"/>
      <c r="D310" s="200"/>
      <c r="E310" s="200"/>
      <c r="F310" s="454" t="s">
        <v>1569</v>
      </c>
      <c r="G310" s="200"/>
      <c r="H310" s="455">
        <f>+(H309/(1+H309))+(H308-(H308*(((H309/(1+H309))))))</f>
        <v>0.25401322001888577</v>
      </c>
    </row>
    <row r="311" spans="1:15">
      <c r="A311" s="86"/>
      <c r="B311" t="s">
        <v>1253</v>
      </c>
      <c r="D311" t="s">
        <v>1265</v>
      </c>
      <c r="H311" s="256"/>
    </row>
    <row r="312" spans="1:15">
      <c r="A312" s="86"/>
      <c r="B312" t="s">
        <v>1254</v>
      </c>
      <c r="D312" t="s">
        <v>1266</v>
      </c>
      <c r="H312" s="256"/>
    </row>
    <row r="313" spans="1:15">
      <c r="A313" s="86"/>
      <c r="B313" t="s">
        <v>1255</v>
      </c>
      <c r="D313" t="s">
        <v>853</v>
      </c>
      <c r="H313" s="256"/>
    </row>
    <row r="314" spans="1:15">
      <c r="A314" s="86"/>
      <c r="H314" s="256"/>
    </row>
    <row r="315" spans="1:15">
      <c r="A315" s="86"/>
      <c r="H315" s="267"/>
    </row>
    <row r="316" spans="1:15">
      <c r="A316" s="86"/>
      <c r="H316" s="256"/>
    </row>
    <row r="317" spans="1:15">
      <c r="A317" s="86"/>
      <c r="H317" s="256"/>
      <c r="I317" s="256"/>
      <c r="J317" s="256"/>
      <c r="K317" s="256"/>
      <c r="L317" s="256"/>
      <c r="M317" s="256"/>
      <c r="N317" s="256"/>
      <c r="O317" s="256"/>
    </row>
    <row r="318" spans="1:15">
      <c r="A318" s="86"/>
      <c r="H318" s="256"/>
      <c r="I318" s="256"/>
      <c r="J318" s="256"/>
      <c r="K318" s="256"/>
      <c r="L318" s="256"/>
      <c r="M318" s="256"/>
      <c r="N318" s="256"/>
      <c r="O318" s="256"/>
    </row>
    <row r="319" spans="1:15">
      <c r="A319" s="86"/>
      <c r="H319" s="256"/>
      <c r="I319" s="256"/>
      <c r="J319" s="256"/>
      <c r="K319" s="256"/>
      <c r="L319" s="256"/>
      <c r="M319" s="256"/>
      <c r="N319" s="256"/>
      <c r="O319" s="256"/>
    </row>
    <row r="320" spans="1:15">
      <c r="A320" s="86"/>
      <c r="H320" s="256"/>
      <c r="I320" s="256"/>
      <c r="J320" s="256"/>
      <c r="K320" s="256"/>
      <c r="L320" s="256"/>
      <c r="M320" s="256"/>
      <c r="N320" s="256"/>
      <c r="O320" s="256"/>
    </row>
    <row r="321" spans="1:15">
      <c r="A321" s="86"/>
      <c r="H321" s="256"/>
      <c r="I321" s="256"/>
      <c r="J321" s="256"/>
      <c r="K321" s="256"/>
      <c r="L321" s="256"/>
      <c r="M321" s="256"/>
      <c r="N321" s="256"/>
      <c r="O321" s="256"/>
    </row>
    <row r="322" spans="1:15">
      <c r="A322" s="86"/>
      <c r="H322" s="256"/>
      <c r="I322" s="256"/>
      <c r="J322" s="256"/>
      <c r="K322" s="256"/>
      <c r="L322" s="256"/>
      <c r="M322" s="256"/>
      <c r="N322" s="256"/>
      <c r="O322" s="256"/>
    </row>
    <row r="323" spans="1:15">
      <c r="A323" s="86"/>
      <c r="H323"/>
    </row>
    <row r="324" spans="1:15">
      <c r="A324" s="86"/>
      <c r="H324"/>
    </row>
    <row r="325" spans="1:15">
      <c r="A325" s="86"/>
      <c r="H325"/>
    </row>
    <row r="326" spans="1:15">
      <c r="A326" s="86"/>
      <c r="H326"/>
    </row>
    <row r="327" spans="1:15">
      <c r="A327" s="86"/>
      <c r="H327"/>
    </row>
    <row r="328" spans="1:15">
      <c r="A328" s="86"/>
      <c r="H328"/>
    </row>
    <row r="329" spans="1:15">
      <c r="A329" s="86"/>
      <c r="H329"/>
    </row>
    <row r="330" spans="1:15">
      <c r="A330" s="86"/>
      <c r="H330"/>
    </row>
    <row r="331" spans="1:15">
      <c r="A331" s="86"/>
      <c r="H331"/>
    </row>
    <row r="332" spans="1:15">
      <c r="A332" s="86"/>
      <c r="H332"/>
    </row>
    <row r="333" spans="1:15">
      <c r="A333" s="86"/>
      <c r="H333"/>
    </row>
    <row r="334" spans="1:15">
      <c r="A334" s="86"/>
      <c r="H334"/>
    </row>
    <row r="335" spans="1:15">
      <c r="A335" s="86"/>
      <c r="H335"/>
    </row>
    <row r="336" spans="1:15">
      <c r="A336" s="86"/>
      <c r="H336"/>
    </row>
    <row r="337" spans="1:8">
      <c r="A337" s="86"/>
      <c r="H337"/>
    </row>
    <row r="338" spans="1:8">
      <c r="A338" s="86"/>
      <c r="H338"/>
    </row>
    <row r="339" spans="1:8">
      <c r="A339" s="86"/>
      <c r="H339"/>
    </row>
    <row r="340" spans="1:8">
      <c r="A340" s="86"/>
      <c r="H340"/>
    </row>
    <row r="341" spans="1:8">
      <c r="A341" s="86"/>
      <c r="H341"/>
    </row>
    <row r="342" spans="1:8">
      <c r="A342" s="86"/>
      <c r="H342"/>
    </row>
    <row r="343" spans="1:8">
      <c r="A343" s="86"/>
      <c r="H343"/>
    </row>
    <row r="344" spans="1:8">
      <c r="A344" s="86"/>
      <c r="H344"/>
    </row>
    <row r="345" spans="1:8">
      <c r="A345" s="86"/>
      <c r="H345"/>
    </row>
    <row r="346" spans="1:8">
      <c r="A346" s="86"/>
      <c r="H346"/>
    </row>
    <row r="347" spans="1:8">
      <c r="A347" s="86"/>
      <c r="H347"/>
    </row>
    <row r="348" spans="1:8">
      <c r="A348" s="86"/>
      <c r="H348"/>
    </row>
    <row r="349" spans="1:8">
      <c r="A349" s="86"/>
      <c r="H349"/>
    </row>
    <row r="350" spans="1:8">
      <c r="A350" s="86"/>
      <c r="H350"/>
    </row>
    <row r="351" spans="1:8">
      <c r="A351" s="86"/>
      <c r="H351"/>
    </row>
    <row r="352" spans="1:8">
      <c r="A352" s="86"/>
      <c r="H352"/>
    </row>
    <row r="353" spans="1:8">
      <c r="A353" s="86"/>
      <c r="H353"/>
    </row>
    <row r="354" spans="1:8">
      <c r="A354" s="86"/>
      <c r="H354"/>
    </row>
    <row r="355" spans="1:8">
      <c r="A355" s="86"/>
      <c r="H355"/>
    </row>
    <row r="356" spans="1:8">
      <c r="A356" s="86"/>
      <c r="H356"/>
    </row>
  </sheetData>
  <mergeCells count="1">
    <mergeCell ref="D306:H306"/>
  </mergeCells>
  <pageMargins left="0.7" right="0.7" top="0.75" bottom="0.75" header="0.3" footer="0.3"/>
  <pageSetup scale="53" fitToHeight="0" orientation="portrait" r:id="rId1"/>
  <rowBreaks count="4" manualBreakCount="4">
    <brk id="70" max="16383" man="1"/>
    <brk id="147" max="16383" man="1"/>
    <brk id="219" max="16383" man="1"/>
    <brk id="28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92"/>
  <sheetViews>
    <sheetView workbookViewId="0">
      <selection activeCell="J110" sqref="J110"/>
    </sheetView>
  </sheetViews>
  <sheetFormatPr defaultColWidth="8.85546875" defaultRowHeight="15"/>
  <cols>
    <col min="2" max="2" width="3.85546875" customWidth="1"/>
    <col min="3" max="3" width="46.140625" customWidth="1"/>
    <col min="4" max="4" width="16.140625" bestFit="1" customWidth="1"/>
    <col min="5" max="5" width="9.140625"/>
    <col min="6" max="6" width="24.7109375" style="3" customWidth="1"/>
    <col min="7" max="7" width="26.7109375" style="3" customWidth="1"/>
    <col min="8" max="8" width="24.85546875" style="3" customWidth="1"/>
    <col min="9" max="12" width="15.28515625" style="3" customWidth="1"/>
    <col min="13" max="13" width="17.140625" customWidth="1"/>
    <col min="14" max="14" width="19.5703125" customWidth="1"/>
    <col min="15" max="15" width="9.140625"/>
    <col min="16" max="16" width="9.7109375" bestFit="1" customWidth="1"/>
    <col min="17" max="17" width="10" bestFit="1" customWidth="1"/>
    <col min="18" max="18" width="11.85546875" bestFit="1" customWidth="1"/>
  </cols>
  <sheetData>
    <row r="1" spans="1:18">
      <c r="A1" s="1" t="s">
        <v>0</v>
      </c>
    </row>
    <row r="2" spans="1:18">
      <c r="A2" s="1" t="s">
        <v>772</v>
      </c>
    </row>
    <row r="3" spans="1:18">
      <c r="A3" s="1"/>
      <c r="F3" s="131"/>
    </row>
    <row r="4" spans="1:18">
      <c r="A4" s="1"/>
    </row>
    <row r="5" spans="1:18">
      <c r="A5" s="1"/>
      <c r="B5" t="s">
        <v>881</v>
      </c>
    </row>
    <row r="6" spans="1:18">
      <c r="C6" t="s">
        <v>884</v>
      </c>
    </row>
    <row r="7" spans="1:18" ht="15.75" thickBot="1"/>
    <row r="8" spans="1:18">
      <c r="B8" s="5" t="s">
        <v>561</v>
      </c>
      <c r="C8" s="6"/>
      <c r="D8" s="6"/>
      <c r="E8" s="6"/>
      <c r="F8" s="7"/>
      <c r="G8" s="7"/>
      <c r="H8" s="7"/>
      <c r="I8" s="7"/>
      <c r="J8" s="7"/>
      <c r="K8" s="7"/>
      <c r="L8" s="7"/>
      <c r="M8" s="6"/>
      <c r="N8" s="6"/>
      <c r="O8" s="8"/>
    </row>
    <row r="9" spans="1:18">
      <c r="B9" s="9"/>
      <c r="C9" s="1" t="s">
        <v>2</v>
      </c>
      <c r="F9" s="10"/>
      <c r="G9" s="10"/>
      <c r="H9" s="10"/>
      <c r="I9" s="73"/>
      <c r="J9" s="73"/>
      <c r="K9" s="73"/>
      <c r="L9" s="73"/>
      <c r="O9" s="11"/>
    </row>
    <row r="10" spans="1:18" s="70" customFormat="1" ht="75">
      <c r="B10" s="79"/>
      <c r="C10" s="80" t="s">
        <v>10</v>
      </c>
      <c r="D10" s="80" t="s">
        <v>11</v>
      </c>
      <c r="E10" s="80"/>
      <c r="F10" s="81" t="s">
        <v>882</v>
      </c>
      <c r="G10" s="81" t="s">
        <v>883</v>
      </c>
      <c r="H10" s="81" t="s">
        <v>565</v>
      </c>
      <c r="I10" s="81" t="s">
        <v>567</v>
      </c>
      <c r="J10" s="485" t="s">
        <v>1573</v>
      </c>
      <c r="K10" s="81" t="s">
        <v>990</v>
      </c>
      <c r="L10" s="81" t="s">
        <v>991</v>
      </c>
      <c r="M10" s="81" t="s">
        <v>55</v>
      </c>
      <c r="O10" s="82"/>
    </row>
    <row r="11" spans="1:18">
      <c r="B11" s="9"/>
      <c r="C11" t="s">
        <v>13</v>
      </c>
      <c r="D11" t="s">
        <v>27</v>
      </c>
      <c r="F11" s="84">
        <v>11884425.16</v>
      </c>
      <c r="G11" s="84">
        <v>4603991.72</v>
      </c>
      <c r="H11" s="84">
        <v>0</v>
      </c>
      <c r="I11" s="84">
        <v>10097595.167199686</v>
      </c>
      <c r="J11" s="84">
        <v>382027290.23000002</v>
      </c>
      <c r="K11" s="84">
        <v>813290.28529999999</v>
      </c>
      <c r="L11" s="84">
        <v>1717081.2313029077</v>
      </c>
      <c r="M11" s="73">
        <f t="shared" ref="M11:M23" si="0">SUM(F11:L11)</f>
        <v>411143673.79380262</v>
      </c>
      <c r="O11" s="11"/>
    </row>
    <row r="12" spans="1:18">
      <c r="B12" s="9"/>
      <c r="C12" t="s">
        <v>14</v>
      </c>
      <c r="D12" t="s">
        <v>27</v>
      </c>
      <c r="F12" s="84">
        <v>11884425.16</v>
      </c>
      <c r="G12" s="84">
        <v>4603991.72</v>
      </c>
      <c r="H12" s="84">
        <v>0</v>
      </c>
      <c r="I12" s="84">
        <v>10097595.167199686</v>
      </c>
      <c r="J12" s="84">
        <v>382027290.23000002</v>
      </c>
      <c r="K12" s="84">
        <v>813290.28529999999</v>
      </c>
      <c r="L12" s="84">
        <v>1717081.2313029077</v>
      </c>
      <c r="M12" s="73">
        <f t="shared" si="0"/>
        <v>411143673.79380262</v>
      </c>
      <c r="O12" s="11"/>
      <c r="P12" s="3"/>
      <c r="Q12" s="3"/>
      <c r="R12" s="3"/>
    </row>
    <row r="13" spans="1:18">
      <c r="B13" s="9"/>
      <c r="C13" t="s">
        <v>15</v>
      </c>
      <c r="D13" t="s">
        <v>27</v>
      </c>
      <c r="F13" s="84">
        <v>11884425.16</v>
      </c>
      <c r="G13" s="84">
        <v>4603991.72</v>
      </c>
      <c r="H13" s="84">
        <v>0</v>
      </c>
      <c r="I13" s="84">
        <v>10097595.167199686</v>
      </c>
      <c r="J13" s="84">
        <v>382027290.23000002</v>
      </c>
      <c r="K13" s="84">
        <v>813290.28529999999</v>
      </c>
      <c r="L13" s="84">
        <v>1717081.2313029077</v>
      </c>
      <c r="M13" s="73">
        <f t="shared" si="0"/>
        <v>411143673.79380262</v>
      </c>
      <c r="O13" s="11"/>
      <c r="P13" s="3"/>
      <c r="Q13" s="3"/>
      <c r="R13" s="3"/>
    </row>
    <row r="14" spans="1:18">
      <c r="B14" s="9"/>
      <c r="C14" t="s">
        <v>16</v>
      </c>
      <c r="D14" t="s">
        <v>27</v>
      </c>
      <c r="F14" s="84">
        <v>11884425.16</v>
      </c>
      <c r="G14" s="84">
        <v>4603991.72</v>
      </c>
      <c r="H14" s="84">
        <v>0</v>
      </c>
      <c r="I14" s="84">
        <v>10097595.167199686</v>
      </c>
      <c r="J14" s="84">
        <v>382027290.23000002</v>
      </c>
      <c r="K14" s="84">
        <v>813290.28529999999</v>
      </c>
      <c r="L14" s="84">
        <v>1717081.2313029077</v>
      </c>
      <c r="M14" s="73">
        <f t="shared" si="0"/>
        <v>411143673.79380262</v>
      </c>
      <c r="O14" s="11"/>
      <c r="P14" s="3"/>
      <c r="Q14" s="3"/>
      <c r="R14" s="3"/>
    </row>
    <row r="15" spans="1:18">
      <c r="B15" s="9"/>
      <c r="C15" t="s">
        <v>17</v>
      </c>
      <c r="D15" t="s">
        <v>27</v>
      </c>
      <c r="F15" s="84">
        <v>11884425.16</v>
      </c>
      <c r="G15" s="84">
        <v>4603991.72</v>
      </c>
      <c r="H15" s="84">
        <v>0</v>
      </c>
      <c r="I15" s="84">
        <v>10097595.167199686</v>
      </c>
      <c r="J15" s="84">
        <v>382027290.22999996</v>
      </c>
      <c r="K15" s="84">
        <v>813290.28529999999</v>
      </c>
      <c r="L15" s="84">
        <v>1717081.2313029077</v>
      </c>
      <c r="M15" s="73">
        <f t="shared" si="0"/>
        <v>411143673.79380256</v>
      </c>
      <c r="O15" s="11"/>
      <c r="P15" s="3"/>
      <c r="Q15" s="3"/>
      <c r="R15" s="3"/>
    </row>
    <row r="16" spans="1:18">
      <c r="B16" s="9"/>
      <c r="C16" t="s">
        <v>18</v>
      </c>
      <c r="D16" t="s">
        <v>27</v>
      </c>
      <c r="F16" s="84">
        <v>11884425.16</v>
      </c>
      <c r="G16" s="84">
        <v>4603991.72</v>
      </c>
      <c r="H16" s="84">
        <v>0</v>
      </c>
      <c r="I16" s="84">
        <v>10097595.167199686</v>
      </c>
      <c r="J16" s="84">
        <v>383590599.77999997</v>
      </c>
      <c r="K16" s="84">
        <v>813290.28529999999</v>
      </c>
      <c r="L16" s="84">
        <v>1717081.2313029077</v>
      </c>
      <c r="M16" s="73">
        <f t="shared" si="0"/>
        <v>412706983.34380257</v>
      </c>
      <c r="O16" s="11"/>
      <c r="P16" s="3"/>
      <c r="Q16" s="3"/>
      <c r="R16" s="3"/>
    </row>
    <row r="17" spans="2:18">
      <c r="B17" s="9"/>
      <c r="C17" t="s">
        <v>19</v>
      </c>
      <c r="D17" t="s">
        <v>27</v>
      </c>
      <c r="F17" s="84">
        <v>11884425.16</v>
      </c>
      <c r="G17" s="84">
        <v>4603991.72</v>
      </c>
      <c r="H17" s="84">
        <v>0</v>
      </c>
      <c r="I17" s="84">
        <v>10097595.167199686</v>
      </c>
      <c r="J17" s="84">
        <v>383590599.77999997</v>
      </c>
      <c r="K17" s="84">
        <v>813290.28529999999</v>
      </c>
      <c r="L17" s="84">
        <v>1717081.2313029077</v>
      </c>
      <c r="M17" s="73">
        <f t="shared" si="0"/>
        <v>412706983.34380257</v>
      </c>
      <c r="O17" s="11"/>
      <c r="P17" s="3"/>
      <c r="Q17" s="3"/>
      <c r="R17" s="3"/>
    </row>
    <row r="18" spans="2:18">
      <c r="B18" s="9"/>
      <c r="C18" t="s">
        <v>20</v>
      </c>
      <c r="D18" t="s">
        <v>27</v>
      </c>
      <c r="F18" s="84">
        <v>11884425.16</v>
      </c>
      <c r="G18" s="84">
        <v>4603991.72</v>
      </c>
      <c r="H18" s="84">
        <v>0</v>
      </c>
      <c r="I18" s="84">
        <v>10097595.167199686</v>
      </c>
      <c r="J18" s="84">
        <v>383590599.77999997</v>
      </c>
      <c r="K18" s="84">
        <v>813290.28529999999</v>
      </c>
      <c r="L18" s="84">
        <v>1717081.2313029077</v>
      </c>
      <c r="M18" s="73">
        <f t="shared" si="0"/>
        <v>412706983.34380257</v>
      </c>
      <c r="O18" s="11"/>
      <c r="P18" s="3"/>
      <c r="Q18" s="3"/>
      <c r="R18" s="3"/>
    </row>
    <row r="19" spans="2:18">
      <c r="B19" s="9"/>
      <c r="C19" t="s">
        <v>21</v>
      </c>
      <c r="D19" t="s">
        <v>27</v>
      </c>
      <c r="F19" s="84">
        <v>11884425.16</v>
      </c>
      <c r="G19" s="84">
        <v>4603991.72</v>
      </c>
      <c r="H19" s="84">
        <v>0</v>
      </c>
      <c r="I19" s="84">
        <v>10097595.167199686</v>
      </c>
      <c r="J19" s="84">
        <v>383590599.77999997</v>
      </c>
      <c r="K19" s="84">
        <v>813290.28529999999</v>
      </c>
      <c r="L19" s="84">
        <v>1717081.2313029077</v>
      </c>
      <c r="M19" s="73">
        <f t="shared" si="0"/>
        <v>412706983.34380257</v>
      </c>
      <c r="O19" s="11"/>
      <c r="P19" s="271"/>
      <c r="Q19" s="3"/>
      <c r="R19" s="3"/>
    </row>
    <row r="20" spans="2:18">
      <c r="B20" s="9"/>
      <c r="C20" t="s">
        <v>22</v>
      </c>
      <c r="D20" t="s">
        <v>27</v>
      </c>
      <c r="F20" s="84">
        <v>11884425.16</v>
      </c>
      <c r="G20" s="84">
        <v>4603991.72</v>
      </c>
      <c r="H20" s="84">
        <v>0</v>
      </c>
      <c r="I20" s="84">
        <v>10097595.167199686</v>
      </c>
      <c r="J20" s="84">
        <v>383590599.77999997</v>
      </c>
      <c r="K20" s="84">
        <v>813290.28529999999</v>
      </c>
      <c r="L20" s="84">
        <v>1717081.2313029077</v>
      </c>
      <c r="M20" s="73">
        <f t="shared" si="0"/>
        <v>412706983.34380257</v>
      </c>
      <c r="O20" s="11"/>
      <c r="P20" s="131"/>
      <c r="Q20" s="3"/>
      <c r="R20" s="3"/>
    </row>
    <row r="21" spans="2:18">
      <c r="B21" s="9"/>
      <c r="C21" t="s">
        <v>23</v>
      </c>
      <c r="D21" t="s">
        <v>27</v>
      </c>
      <c r="F21" s="84">
        <v>11884425.16</v>
      </c>
      <c r="G21" s="84">
        <v>4603991.72</v>
      </c>
      <c r="H21" s="84">
        <v>0</v>
      </c>
      <c r="I21" s="84">
        <v>10097595.167199686</v>
      </c>
      <c r="J21" s="84">
        <v>383590599.77999997</v>
      </c>
      <c r="K21" s="84">
        <v>813290.28529999999</v>
      </c>
      <c r="L21" s="84">
        <v>1717081.2313029077</v>
      </c>
      <c r="M21" s="73">
        <f t="shared" si="0"/>
        <v>412706983.34380257</v>
      </c>
      <c r="O21" s="11"/>
      <c r="P21" s="131"/>
      <c r="Q21" s="3"/>
      <c r="R21" s="3"/>
    </row>
    <row r="22" spans="2:18">
      <c r="B22" s="9"/>
      <c r="C22" t="s">
        <v>24</v>
      </c>
      <c r="D22" t="s">
        <v>27</v>
      </c>
      <c r="F22" s="84">
        <v>11871166.419999998</v>
      </c>
      <c r="G22" s="84">
        <v>4603991.72</v>
      </c>
      <c r="H22" s="84">
        <v>0</v>
      </c>
      <c r="I22" s="84">
        <v>10097595.167199686</v>
      </c>
      <c r="J22" s="84">
        <v>383590599.77999997</v>
      </c>
      <c r="K22" s="84">
        <v>813290.28529999999</v>
      </c>
      <c r="L22" s="84">
        <v>1717081.2313029077</v>
      </c>
      <c r="M22" s="73">
        <f t="shared" si="0"/>
        <v>412693724.60380256</v>
      </c>
      <c r="O22" s="11"/>
      <c r="P22" s="131"/>
      <c r="Q22" s="3"/>
      <c r="R22" s="3"/>
    </row>
    <row r="23" spans="2:18">
      <c r="B23" s="9"/>
      <c r="C23" t="s">
        <v>13</v>
      </c>
      <c r="D23" t="s">
        <v>27</v>
      </c>
      <c r="F23" s="84">
        <v>11871166.419999998</v>
      </c>
      <c r="G23" s="84">
        <v>4603991.72</v>
      </c>
      <c r="H23" s="84">
        <v>0</v>
      </c>
      <c r="I23" s="84">
        <v>10097595.167199686</v>
      </c>
      <c r="J23" s="84">
        <v>383590599.77999997</v>
      </c>
      <c r="K23" s="84">
        <v>813290.28529999999</v>
      </c>
      <c r="L23" s="84">
        <v>1717081.2313029077</v>
      </c>
      <c r="M23" s="73">
        <f t="shared" si="0"/>
        <v>412693724.60380256</v>
      </c>
      <c r="O23" s="11"/>
      <c r="P23" s="131"/>
      <c r="Q23" s="3"/>
      <c r="R23" s="3"/>
    </row>
    <row r="24" spans="2:18">
      <c r="B24" s="9"/>
      <c r="C24" s="1" t="s">
        <v>28</v>
      </c>
      <c r="F24" s="10">
        <f t="shared" ref="F24:M24" si="1">AVERAGE(F11:F23)</f>
        <v>11882385.353846151</v>
      </c>
      <c r="G24" s="10">
        <f t="shared" si="1"/>
        <v>4603991.72</v>
      </c>
      <c r="H24" s="10">
        <f t="shared" si="1"/>
        <v>0</v>
      </c>
      <c r="I24" s="10">
        <f t="shared" si="1"/>
        <v>10097595.167199686</v>
      </c>
      <c r="J24" s="10">
        <f t="shared" si="1"/>
        <v>382989326.87615371</v>
      </c>
      <c r="K24" s="10">
        <f t="shared" si="1"/>
        <v>813290.28529999976</v>
      </c>
      <c r="L24" s="10">
        <f t="shared" si="1"/>
        <v>1717081.2313029079</v>
      </c>
      <c r="M24" s="10">
        <f t="shared" si="1"/>
        <v>412103670.63380253</v>
      </c>
      <c r="N24" s="47"/>
      <c r="O24" s="11"/>
      <c r="P24" s="131"/>
      <c r="Q24" s="3"/>
      <c r="R24" s="3"/>
    </row>
    <row r="25" spans="2:18">
      <c r="B25" s="9"/>
      <c r="C25" s="1"/>
      <c r="F25" s="10"/>
      <c r="G25" s="10"/>
      <c r="H25" s="10"/>
      <c r="I25" s="10"/>
      <c r="J25" s="10"/>
      <c r="K25" s="10"/>
      <c r="L25" s="10"/>
      <c r="O25" s="11"/>
      <c r="P25" s="131"/>
      <c r="Q25" s="3"/>
      <c r="R25" s="3"/>
    </row>
    <row r="26" spans="2:18" ht="15.75" thickBot="1">
      <c r="B26" s="14"/>
      <c r="C26" s="15"/>
      <c r="D26" s="15"/>
      <c r="E26" s="15"/>
      <c r="F26" s="16"/>
      <c r="G26" s="16"/>
      <c r="H26" s="16"/>
      <c r="I26" s="16"/>
      <c r="J26" s="16"/>
      <c r="K26" s="16"/>
      <c r="L26" s="16"/>
      <c r="M26" s="15"/>
      <c r="N26" s="15"/>
      <c r="O26" s="17"/>
      <c r="P26" s="131"/>
      <c r="Q26" s="3"/>
      <c r="R26" s="3"/>
    </row>
    <row r="27" spans="2:18" ht="15.75" thickBot="1">
      <c r="P27" s="131"/>
      <c r="Q27" s="3"/>
      <c r="R27" s="3"/>
    </row>
    <row r="28" spans="2:18">
      <c r="B28" s="5" t="s">
        <v>562</v>
      </c>
      <c r="C28" s="6"/>
      <c r="D28" s="6"/>
      <c r="E28" s="6"/>
      <c r="F28" s="7"/>
      <c r="G28" s="7"/>
      <c r="H28" s="7"/>
      <c r="I28" s="7"/>
      <c r="J28" s="7"/>
      <c r="K28" s="7"/>
      <c r="L28" s="7"/>
      <c r="M28" s="6"/>
      <c r="N28" s="6"/>
      <c r="O28" s="8"/>
      <c r="P28" s="131"/>
      <c r="Q28" s="3"/>
      <c r="R28" s="3"/>
    </row>
    <row r="29" spans="2:18">
      <c r="B29" s="9"/>
      <c r="C29" s="1" t="s">
        <v>76</v>
      </c>
      <c r="F29" s="10"/>
      <c r="G29" s="10"/>
      <c r="H29" s="10"/>
      <c r="I29" s="73"/>
      <c r="J29" s="73"/>
      <c r="K29" s="73"/>
      <c r="L29" s="73"/>
      <c r="O29" s="11"/>
      <c r="P29" s="131"/>
      <c r="Q29" s="3"/>
      <c r="R29" s="3"/>
    </row>
    <row r="30" spans="2:18" s="70" customFormat="1" ht="75">
      <c r="B30" s="79"/>
      <c r="C30" s="80" t="s">
        <v>10</v>
      </c>
      <c r="D30" s="80" t="s">
        <v>11</v>
      </c>
      <c r="E30" s="80"/>
      <c r="F30" s="81" t="str">
        <f t="shared" ref="F30:L30" si="2">+F10</f>
        <v>Generation step up Transformers</v>
      </c>
      <c r="G30" s="81" t="str">
        <f t="shared" si="2"/>
        <v>Generator interconnection Facilities</v>
      </c>
      <c r="H30" s="81" t="str">
        <f t="shared" si="2"/>
        <v>Noe Substation and 115kV Transmission Lines</v>
      </c>
      <c r="I30" s="81" t="str">
        <f t="shared" si="2"/>
        <v>Radial Lines</v>
      </c>
      <c r="J30" s="484" t="str">
        <f t="shared" si="2"/>
        <v>Investment Collected Through Incremental Rates</v>
      </c>
      <c r="K30" s="195" t="str">
        <f>+K10</f>
        <v>Dual Use</v>
      </c>
      <c r="L30" s="195" t="str">
        <f t="shared" si="2"/>
        <v>Underbuild</v>
      </c>
      <c r="M30" s="81" t="s">
        <v>55</v>
      </c>
      <c r="O30" s="82"/>
      <c r="P30" s="272"/>
      <c r="Q30" s="273"/>
      <c r="R30" s="273"/>
    </row>
    <row r="31" spans="2:18">
      <c r="B31" s="9"/>
      <c r="C31" t="s">
        <v>13</v>
      </c>
      <c r="D31" t="s">
        <v>27</v>
      </c>
      <c r="F31" s="84">
        <v>-5775104.0083620008</v>
      </c>
      <c r="G31" s="84">
        <v>-1290167.83</v>
      </c>
      <c r="H31" s="84">
        <v>0</v>
      </c>
      <c r="I31" s="84">
        <v>-9619435.98095873</v>
      </c>
      <c r="J31" s="84">
        <v>-36310952.553333335</v>
      </c>
      <c r="K31" s="84">
        <v>-604232.41733965545</v>
      </c>
      <c r="L31" s="84">
        <v>-1271958.4711954864</v>
      </c>
      <c r="M31" s="73">
        <f t="shared" ref="M31:M43" si="3">SUM(F31:L31)</f>
        <v>-54871851.261189207</v>
      </c>
      <c r="N31" s="47"/>
      <c r="O31" s="11"/>
      <c r="P31" s="131"/>
      <c r="Q31" s="3"/>
      <c r="R31" s="3"/>
    </row>
    <row r="32" spans="2:18">
      <c r="B32" s="9"/>
      <c r="C32" t="s">
        <v>14</v>
      </c>
      <c r="D32" t="s">
        <v>27</v>
      </c>
      <c r="F32" s="84">
        <v>-5801548.7510665832</v>
      </c>
      <c r="G32" s="84">
        <v>-1301873.7549999999</v>
      </c>
      <c r="H32" s="84">
        <v>0</v>
      </c>
      <c r="I32" s="84">
        <v>-9644315.7289721817</v>
      </c>
      <c r="J32" s="84">
        <v>-37216563.079999998</v>
      </c>
      <c r="K32" s="84">
        <v>-605897.19213666301</v>
      </c>
      <c r="L32" s="84">
        <v>-1275782.991570476</v>
      </c>
      <c r="M32" s="73">
        <f t="shared" si="3"/>
        <v>-55845981.498745896</v>
      </c>
      <c r="N32" s="47"/>
      <c r="O32" s="11"/>
      <c r="P32" s="131"/>
      <c r="Q32" s="3"/>
      <c r="R32" s="3"/>
    </row>
    <row r="33" spans="2:18">
      <c r="B33" s="9"/>
      <c r="C33" t="s">
        <v>15</v>
      </c>
      <c r="D33" t="s">
        <v>27</v>
      </c>
      <c r="F33" s="84">
        <v>-5827993.1937711667</v>
      </c>
      <c r="G33" s="84">
        <v>-1313583.6299999999</v>
      </c>
      <c r="H33" s="84">
        <v>0</v>
      </c>
      <c r="I33" s="84">
        <v>-9669195.4769856334</v>
      </c>
      <c r="J33" s="84">
        <v>-38122172.17666667</v>
      </c>
      <c r="K33" s="84">
        <v>-607561.96693367057</v>
      </c>
      <c r="L33" s="84">
        <v>-1279607.5119454656</v>
      </c>
      <c r="M33" s="73">
        <f t="shared" si="3"/>
        <v>-56820113.956302606</v>
      </c>
      <c r="N33" s="47"/>
      <c r="O33" s="11"/>
      <c r="P33" s="131"/>
      <c r="Q33" s="3"/>
      <c r="R33" s="3"/>
    </row>
    <row r="34" spans="2:18">
      <c r="B34" s="9"/>
      <c r="C34" t="s">
        <v>16</v>
      </c>
      <c r="D34" t="s">
        <v>27</v>
      </c>
      <c r="F34" s="84">
        <v>-5854437.2264757501</v>
      </c>
      <c r="G34" s="84">
        <v>-1325033.885</v>
      </c>
      <c r="H34" s="84">
        <v>0</v>
      </c>
      <c r="I34" s="84">
        <v>-9694075.2249990851</v>
      </c>
      <c r="J34" s="84">
        <v>-39027782.683333337</v>
      </c>
      <c r="K34" s="84">
        <v>-609226.74173067813</v>
      </c>
      <c r="L34" s="84">
        <v>-1283432.0323204552</v>
      </c>
      <c r="M34" s="73">
        <f t="shared" si="3"/>
        <v>-57793987.793859303</v>
      </c>
      <c r="N34" s="47"/>
      <c r="O34" s="11"/>
      <c r="P34" s="131"/>
      <c r="Q34" s="3"/>
      <c r="R34" s="3"/>
    </row>
    <row r="35" spans="2:18">
      <c r="B35" s="9"/>
      <c r="C35" t="s">
        <v>17</v>
      </c>
      <c r="D35" t="s">
        <v>27</v>
      </c>
      <c r="F35" s="84">
        <v>-5880880.9000000004</v>
      </c>
      <c r="G35" s="84">
        <v>-1336125.3799999999</v>
      </c>
      <c r="H35" s="84">
        <v>0</v>
      </c>
      <c r="I35" s="84">
        <v>-9718954.9730125368</v>
      </c>
      <c r="J35" s="84">
        <v>-39933391.739999995</v>
      </c>
      <c r="K35" s="84">
        <v>-610891.51652768569</v>
      </c>
      <c r="L35" s="84">
        <v>-1287256.5526954448</v>
      </c>
      <c r="M35" s="73">
        <f t="shared" si="3"/>
        <v>-58767501.062235661</v>
      </c>
      <c r="N35" s="47"/>
      <c r="O35" s="11"/>
      <c r="P35" s="131"/>
      <c r="Q35" s="3"/>
      <c r="R35" s="3"/>
    </row>
    <row r="36" spans="2:18">
      <c r="B36" s="9"/>
      <c r="C36" t="s">
        <v>18</v>
      </c>
      <c r="D36" t="s">
        <v>27</v>
      </c>
      <c r="F36" s="84">
        <v>-5907324.21</v>
      </c>
      <c r="G36" s="84">
        <v>-1347251.175</v>
      </c>
      <c r="H36" s="84">
        <v>0</v>
      </c>
      <c r="I36" s="84">
        <v>-9743834.7210259885</v>
      </c>
      <c r="J36" s="84">
        <v>-40839002.416666664</v>
      </c>
      <c r="K36" s="84">
        <v>-612556.29132469324</v>
      </c>
      <c r="L36" s="84">
        <v>-1291081.0730704344</v>
      </c>
      <c r="M36" s="73">
        <f t="shared" si="3"/>
        <v>-59741049.887087777</v>
      </c>
      <c r="N36" s="47"/>
      <c r="O36" s="11"/>
      <c r="P36" s="131"/>
      <c r="Q36" s="3"/>
      <c r="R36" s="3"/>
    </row>
    <row r="37" spans="2:18">
      <c r="B37" s="9"/>
      <c r="C37" t="s">
        <v>19</v>
      </c>
      <c r="D37" t="s">
        <v>27</v>
      </c>
      <c r="F37" s="84">
        <v>-5933767.1899999995</v>
      </c>
      <c r="G37" s="84">
        <v>-1357704.82</v>
      </c>
      <c r="H37" s="84">
        <v>0</v>
      </c>
      <c r="I37" s="84">
        <v>-9768714.4690394402</v>
      </c>
      <c r="J37" s="84">
        <v>-41748042.283333331</v>
      </c>
      <c r="K37" s="84">
        <v>-614221.0661217008</v>
      </c>
      <c r="L37" s="84">
        <v>-1294905.593445424</v>
      </c>
      <c r="M37" s="73">
        <f t="shared" si="3"/>
        <v>-60717355.421939895</v>
      </c>
      <c r="N37" s="47"/>
      <c r="O37" s="11"/>
      <c r="P37" s="271"/>
      <c r="Q37" s="3"/>
      <c r="R37" s="3"/>
    </row>
    <row r="38" spans="2:18">
      <c r="B38" s="9"/>
      <c r="C38" t="s">
        <v>20</v>
      </c>
      <c r="D38" t="s">
        <v>27</v>
      </c>
      <c r="F38" s="84">
        <v>-5960209.8200000003</v>
      </c>
      <c r="G38" s="84">
        <v>-1368421.335</v>
      </c>
      <c r="H38" s="84">
        <v>0</v>
      </c>
      <c r="I38" s="84">
        <v>-9793594.2170528919</v>
      </c>
      <c r="J38" s="84">
        <v>-42657078.600000009</v>
      </c>
      <c r="K38" s="84">
        <v>-615885.84091870836</v>
      </c>
      <c r="L38" s="84">
        <v>-1298730.1138204136</v>
      </c>
      <c r="M38" s="73">
        <f t="shared" si="3"/>
        <v>-61693919.926792018</v>
      </c>
      <c r="N38" s="47"/>
      <c r="O38" s="11"/>
      <c r="P38" s="131"/>
      <c r="Q38" s="3"/>
      <c r="R38" s="3"/>
    </row>
    <row r="39" spans="2:18">
      <c r="B39" s="9"/>
      <c r="C39" t="s">
        <v>21</v>
      </c>
      <c r="D39" t="s">
        <v>27</v>
      </c>
      <c r="F39" s="84">
        <v>-5986652.0600000005</v>
      </c>
      <c r="G39" s="84">
        <v>-1380253.5699999998</v>
      </c>
      <c r="H39" s="84">
        <v>0</v>
      </c>
      <c r="I39" s="84">
        <v>-9818473.9650663435</v>
      </c>
      <c r="J39" s="84">
        <v>-43566118.516666673</v>
      </c>
      <c r="K39" s="84">
        <v>-617550.61571571592</v>
      </c>
      <c r="L39" s="84">
        <v>-1302554.6341954032</v>
      </c>
      <c r="M39" s="73">
        <f t="shared" si="3"/>
        <v>-62671603.361644134</v>
      </c>
      <c r="N39" s="47"/>
      <c r="O39" s="11"/>
      <c r="P39" s="131"/>
      <c r="Q39" s="3"/>
      <c r="R39" s="3"/>
    </row>
    <row r="40" spans="2:18">
      <c r="B40" s="9"/>
      <c r="C40" t="s">
        <v>22</v>
      </c>
      <c r="D40" t="s">
        <v>27</v>
      </c>
      <c r="F40" s="84">
        <v>-6013093.9500000002</v>
      </c>
      <c r="G40" s="84">
        <v>-1392317.855</v>
      </c>
      <c r="H40" s="84">
        <v>0</v>
      </c>
      <c r="I40" s="84">
        <v>-9843353.7130797952</v>
      </c>
      <c r="J40" s="84">
        <v>-44475154.833333343</v>
      </c>
      <c r="K40" s="84">
        <v>-619215.39051272348</v>
      </c>
      <c r="L40" s="84">
        <v>-1306379.1545703928</v>
      </c>
      <c r="M40" s="73">
        <f t="shared" si="3"/>
        <v>-63649514.896496259</v>
      </c>
      <c r="N40" s="47"/>
      <c r="O40" s="11"/>
      <c r="P40" s="131"/>
      <c r="Q40" s="3"/>
      <c r="R40" s="3"/>
    </row>
    <row r="41" spans="2:18">
      <c r="B41" s="9"/>
      <c r="C41" t="s">
        <v>23</v>
      </c>
      <c r="D41" t="s">
        <v>27</v>
      </c>
      <c r="F41" s="84">
        <v>-6039535.5800000001</v>
      </c>
      <c r="G41" s="84">
        <v>-1401682.85</v>
      </c>
      <c r="H41" s="84">
        <v>0</v>
      </c>
      <c r="I41" s="84">
        <v>-9868233.4610932469</v>
      </c>
      <c r="J41" s="84">
        <v>-45384194.710000008</v>
      </c>
      <c r="K41" s="84">
        <v>-620880.16530973103</v>
      </c>
      <c r="L41" s="84">
        <v>-1310203.6749453824</v>
      </c>
      <c r="M41" s="73">
        <f t="shared" si="3"/>
        <v>-64624730.441348374</v>
      </c>
      <c r="N41" s="47"/>
      <c r="O41" s="11"/>
      <c r="P41" s="131"/>
      <c r="Q41" s="3"/>
      <c r="R41" s="3"/>
    </row>
    <row r="42" spans="2:18">
      <c r="B42" s="9"/>
      <c r="C42" t="s">
        <v>24</v>
      </c>
      <c r="D42" t="s">
        <v>27</v>
      </c>
      <c r="F42" s="84">
        <v>-6046924.0099999998</v>
      </c>
      <c r="G42" s="84">
        <v>-1412404.135</v>
      </c>
      <c r="H42" s="84">
        <v>0</v>
      </c>
      <c r="I42" s="84">
        <v>-9893113.2091066986</v>
      </c>
      <c r="J42" s="84">
        <v>-46293230.99666667</v>
      </c>
      <c r="K42" s="84">
        <v>-622544.94010673859</v>
      </c>
      <c r="L42" s="84">
        <v>-1314028.195320372</v>
      </c>
      <c r="M42" s="73">
        <f t="shared" si="3"/>
        <v>-65582245.486200482</v>
      </c>
      <c r="N42" s="47"/>
      <c r="O42" s="11"/>
      <c r="P42" s="131"/>
      <c r="Q42" s="3"/>
      <c r="R42" s="3"/>
    </row>
    <row r="43" spans="2:18">
      <c r="B43" s="9"/>
      <c r="C43" t="s">
        <v>13</v>
      </c>
      <c r="D43" t="s">
        <v>27</v>
      </c>
      <c r="F43" s="84">
        <v>-6073334.1299999999</v>
      </c>
      <c r="G43" s="84">
        <v>-1421823.52</v>
      </c>
      <c r="H43" s="84">
        <v>0</v>
      </c>
      <c r="I43" s="84">
        <v>-9917992.9571201503</v>
      </c>
      <c r="J43" s="84">
        <v>-47202270.913333334</v>
      </c>
      <c r="K43" s="84">
        <v>-624209.71490374615</v>
      </c>
      <c r="L43" s="84">
        <v>-1317852.7156953616</v>
      </c>
      <c r="M43" s="73">
        <f t="shared" si="3"/>
        <v>-66557483.951052591</v>
      </c>
      <c r="N43" s="47"/>
      <c r="O43" s="11"/>
      <c r="P43" s="131"/>
      <c r="Q43" s="3"/>
      <c r="R43" s="3"/>
    </row>
    <row r="44" spans="2:18">
      <c r="B44" s="9"/>
      <c r="C44" s="1" t="s">
        <v>77</v>
      </c>
      <c r="F44" s="10">
        <f t="shared" ref="F44:M44" si="4">AVERAGE(F31:F43)</f>
        <v>-5930831.1561288843</v>
      </c>
      <c r="G44" s="10">
        <f t="shared" si="4"/>
        <v>-1357587.98</v>
      </c>
      <c r="H44" s="10">
        <f t="shared" si="4"/>
        <v>0</v>
      </c>
      <c r="I44" s="10">
        <f t="shared" si="4"/>
        <v>-9768714.4690394402</v>
      </c>
      <c r="J44" s="10">
        <f t="shared" si="4"/>
        <v>-41751996.577179484</v>
      </c>
      <c r="K44" s="10">
        <f t="shared" si="4"/>
        <v>-614221.0661217008</v>
      </c>
      <c r="L44" s="10">
        <f t="shared" si="4"/>
        <v>-1294905.593445424</v>
      </c>
      <c r="M44" s="10">
        <f t="shared" si="4"/>
        <v>-60718256.841914929</v>
      </c>
      <c r="N44" s="47"/>
      <c r="O44" s="11"/>
      <c r="Q44" s="47"/>
      <c r="R44" s="47"/>
    </row>
    <row r="45" spans="2:18" ht="15.75" thickBot="1">
      <c r="B45" s="14"/>
      <c r="C45" s="15"/>
      <c r="D45" s="15"/>
      <c r="E45" s="15"/>
      <c r="F45" s="16"/>
      <c r="G45" s="16"/>
      <c r="H45" s="16"/>
      <c r="I45" s="16"/>
      <c r="J45" s="16"/>
      <c r="K45" s="16"/>
      <c r="L45" s="16"/>
      <c r="M45" s="15"/>
      <c r="N45" s="15"/>
      <c r="O45" s="17"/>
    </row>
    <row r="46" spans="2:18" ht="15.75" thickBot="1"/>
    <row r="47" spans="2:18">
      <c r="B47" s="5" t="s">
        <v>564</v>
      </c>
      <c r="C47" s="6"/>
      <c r="D47" s="6"/>
      <c r="E47" s="6"/>
      <c r="F47" s="83"/>
      <c r="G47" s="83"/>
      <c r="H47" s="83"/>
      <c r="I47" s="83"/>
      <c r="J47" s="83"/>
      <c r="K47" s="83"/>
      <c r="L47" s="83"/>
      <c r="M47" s="6"/>
      <c r="N47" s="6"/>
      <c r="O47" s="8"/>
    </row>
    <row r="48" spans="2:18">
      <c r="B48" s="9"/>
      <c r="C48" s="1" t="s">
        <v>539</v>
      </c>
      <c r="F48" s="73"/>
      <c r="G48" s="73"/>
      <c r="H48" s="73"/>
      <c r="I48" s="73"/>
      <c r="J48" s="73"/>
      <c r="K48" s="73"/>
      <c r="L48" s="73"/>
      <c r="O48" s="11"/>
    </row>
    <row r="49" spans="2:15" s="70" customFormat="1" ht="75">
      <c r="B49" s="79"/>
      <c r="C49" s="80" t="s">
        <v>10</v>
      </c>
      <c r="D49" s="80" t="s">
        <v>11</v>
      </c>
      <c r="E49" s="80"/>
      <c r="F49" s="81" t="str">
        <f>+F30</f>
        <v>Generation step up Transformers</v>
      </c>
      <c r="G49" s="81" t="str">
        <f>+G30</f>
        <v>Generator interconnection Facilities</v>
      </c>
      <c r="H49" s="81" t="str">
        <f>+H10</f>
        <v>Noe Substation and 115kV Transmission Lines</v>
      </c>
      <c r="I49" s="81" t="str">
        <f>+I10</f>
        <v>Radial Lines</v>
      </c>
      <c r="J49" s="483" t="str">
        <f>+J10</f>
        <v>Investment Collected Through Incremental Rates</v>
      </c>
      <c r="K49" s="81" t="str">
        <f>+K10</f>
        <v>Dual Use</v>
      </c>
      <c r="L49" s="81" t="str">
        <f>+L10</f>
        <v>Underbuild</v>
      </c>
      <c r="M49" s="81" t="s">
        <v>55</v>
      </c>
      <c r="O49" s="82"/>
    </row>
    <row r="50" spans="2:15">
      <c r="B50" s="9"/>
      <c r="C50" s="276" t="s">
        <v>1763</v>
      </c>
      <c r="D50" t="s">
        <v>27</v>
      </c>
      <c r="F50" s="73">
        <f>+'Schedule 2 - ADIT'!$D$33*('Schedule 13 Direct Assignment'!F11+'Schedule 13 Direct Assignment'!F31)/('Schedule 1 - Plant'!$F$7-'Schedule 1 - Plant'!$F$99)</f>
        <v>-725534.90841587062</v>
      </c>
      <c r="G50" s="73">
        <f>+'Schedule 2 - ADIT'!$D$33*('Schedule 13 Direct Assignment'!G11+'Schedule 13 Direct Assignment'!G31)/('Schedule 1 - Plant'!$F$7-'Schedule 1 - Plant'!$F$99)</f>
        <v>-393545.34699699766</v>
      </c>
      <c r="H50" s="73">
        <f>+'Schedule 2 - ADIT'!$D$33*('Schedule 13 Direct Assignment'!H11+'Schedule 13 Direct Assignment'!H31)/('Schedule 1 - Plant'!$F$7-'Schedule 1 - Plant'!$F$99)</f>
        <v>0</v>
      </c>
      <c r="I50" s="73">
        <f>+'Schedule 2 - ADIT'!$D$33*('Schedule 13 Direct Assignment'!I11+'Schedule 13 Direct Assignment'!I31)/('Schedule 1 - Plant'!$F$7-'Schedule 1 - Plant'!$F$99)</f>
        <v>-56785.553220512018</v>
      </c>
      <c r="J50" s="73">
        <f>+'Schedule 2 - ADIT'!$D$33*('Schedule 13 Direct Assignment'!J11+'Schedule 13 Direct Assignment'!J31)/('Schedule 1 - Plant'!$F$7-'Schedule 1 - Plant'!$F$99)</f>
        <v>-41056815.506721161</v>
      </c>
      <c r="K50" s="73">
        <f>+'Schedule 2 - ADIT'!$D$33*('Schedule 13 Direct Assignment'!K11+'Schedule 13 Direct Assignment'!K31)/('Schedule 1 - Plant'!$F$7-'Schedule 1 - Plant'!$F$99)</f>
        <v>-24827.436194536676</v>
      </c>
      <c r="L50" s="73">
        <f>+'Schedule 2 - ADIT'!$D$33*('Schedule 13 Direct Assignment'!L11+'Schedule 13 Direct Assignment'!L31)/('Schedule 1 - Plant'!$F$7-'Schedule 1 - Plant'!$F$99)</f>
        <v>-52862.190900173788</v>
      </c>
      <c r="M50" s="73">
        <f>SUM(F50:L50)</f>
        <v>-42310370.942449257</v>
      </c>
      <c r="N50" s="46" t="s">
        <v>773</v>
      </c>
      <c r="O50" s="11"/>
    </row>
    <row r="51" spans="2:15">
      <c r="B51" s="9"/>
      <c r="C51" s="276" t="s">
        <v>1832</v>
      </c>
      <c r="D51" t="s">
        <v>27</v>
      </c>
      <c r="F51" s="126">
        <f>'Schedule 2 - ADIT'!$E$33*(+F23+F43)/('Schedule 1 - Plant'!$F19-'Schedule 1 - Plant'!$F111)</f>
        <v>-617925.73477761727</v>
      </c>
      <c r="G51" s="126">
        <f>'Schedule 2 - ADIT'!$E$33*(+G23+G43)/('Schedule 1 - Plant'!$F19-'Schedule 1 - Plant'!$F111)</f>
        <v>-339151.51815661916</v>
      </c>
      <c r="H51" s="126">
        <f>'Schedule 2 - ADIT'!$E$33*(+H23+H43)/('Schedule 1 - Plant'!$F19-'Schedule 1 - Plant'!$F111)</f>
        <v>0</v>
      </c>
      <c r="I51" s="126">
        <f>'Schedule 2 - ADIT'!$E$33*(+I23+I43)/('Schedule 1 - Plant'!$F19-'Schedule 1 - Plant'!$F111)</f>
        <v>-19141.779561733612</v>
      </c>
      <c r="J51" s="126">
        <f>'Schedule 2 - ADIT'!$E$33*(+J23+J43)/('Schedule 1 - Plant'!$F19-'Schedule 1 - Plant'!$F111)</f>
        <v>-35851848.568312034</v>
      </c>
      <c r="K51" s="126">
        <f>'Schedule 2 - ADIT'!$E$33*(+K23+K43)/('Schedule 1 - Plant'!$F19-'Schedule 1 - Plant'!$F111)</f>
        <v>-20151.971383476524</v>
      </c>
      <c r="L51" s="126">
        <f>'Schedule 2 - ADIT'!$E$33*(+L23+L43)/('Schedule 1 - Plant'!$F19-'Schedule 1 - Plant'!$F111)</f>
        <v>-42549.277300839349</v>
      </c>
      <c r="M51" s="126">
        <f>SUM(F51:L51)</f>
        <v>-36890768.849492319</v>
      </c>
      <c r="N51" s="46" t="s">
        <v>773</v>
      </c>
      <c r="O51" s="11"/>
    </row>
    <row r="52" spans="2:15">
      <c r="B52" s="9"/>
      <c r="C52" s="1" t="s">
        <v>542</v>
      </c>
      <c r="F52" s="73">
        <f>(+F50+F51)/2</f>
        <v>-671730.321596744</v>
      </c>
      <c r="G52" s="73">
        <f t="shared" ref="G52:M52" si="5">(+G50+G51)/2</f>
        <v>-366348.43257680838</v>
      </c>
      <c r="H52" s="73">
        <f t="shared" si="5"/>
        <v>0</v>
      </c>
      <c r="I52" s="73">
        <f t="shared" si="5"/>
        <v>-37963.666391122817</v>
      </c>
      <c r="J52" s="73">
        <f t="shared" si="5"/>
        <v>-38454332.037516594</v>
      </c>
      <c r="K52" s="73">
        <f>(+K50+K51)/2</f>
        <v>-22489.703789006599</v>
      </c>
      <c r="L52" s="73">
        <f t="shared" si="5"/>
        <v>-47705.734100506568</v>
      </c>
      <c r="M52" s="73">
        <f t="shared" si="5"/>
        <v>-39600569.895970792</v>
      </c>
      <c r="O52" s="11"/>
    </row>
    <row r="53" spans="2:15" ht="15.75" thickBot="1">
      <c r="B53" s="14"/>
      <c r="C53" s="15"/>
      <c r="D53" s="15"/>
      <c r="E53" s="15"/>
      <c r="F53" s="76"/>
      <c r="G53" s="76"/>
      <c r="H53" s="76"/>
      <c r="I53" s="76"/>
      <c r="J53" s="76"/>
      <c r="K53" s="76"/>
      <c r="L53" s="76"/>
      <c r="M53" s="15"/>
      <c r="N53" s="15"/>
      <c r="O53" s="17"/>
    </row>
    <row r="54" spans="2:15" ht="15.75" thickBot="1">
      <c r="M54" s="15"/>
      <c r="N54" s="15"/>
      <c r="O54" s="2"/>
    </row>
    <row r="55" spans="2:15">
      <c r="B55" s="5" t="s">
        <v>563</v>
      </c>
      <c r="C55" s="6"/>
      <c r="D55" s="6"/>
      <c r="E55" s="6"/>
      <c r="F55" s="7"/>
      <c r="G55" s="7"/>
      <c r="H55" s="7"/>
      <c r="I55" s="7"/>
      <c r="J55" s="7"/>
      <c r="K55" s="7"/>
      <c r="L55" s="7"/>
      <c r="M55" s="6"/>
      <c r="N55" s="6"/>
      <c r="O55" s="8"/>
    </row>
    <row r="56" spans="2:15">
      <c r="B56" s="9"/>
      <c r="C56" s="1" t="s">
        <v>238</v>
      </c>
      <c r="F56" s="10"/>
      <c r="G56" s="10"/>
      <c r="H56" s="10"/>
      <c r="I56" s="73"/>
      <c r="J56" s="73"/>
      <c r="K56" s="73"/>
      <c r="L56" s="73"/>
      <c r="O56" s="11"/>
    </row>
    <row r="57" spans="2:15" s="70" customFormat="1" ht="75">
      <c r="B57" s="79"/>
      <c r="C57" s="80" t="s">
        <v>10</v>
      </c>
      <c r="D57" s="80" t="s">
        <v>11</v>
      </c>
      <c r="E57" s="80"/>
      <c r="F57" s="81" t="str">
        <f t="shared" ref="F57:L57" si="6">+F10</f>
        <v>Generation step up Transformers</v>
      </c>
      <c r="G57" s="81" t="str">
        <f t="shared" si="6"/>
        <v>Generator interconnection Facilities</v>
      </c>
      <c r="H57" s="81" t="str">
        <f t="shared" si="6"/>
        <v>Noe Substation and 115kV Transmission Lines</v>
      </c>
      <c r="I57" s="81" t="str">
        <f t="shared" si="6"/>
        <v>Radial Lines</v>
      </c>
      <c r="J57" s="483" t="str">
        <f t="shared" si="6"/>
        <v>Investment Collected Through Incremental Rates</v>
      </c>
      <c r="K57" s="81" t="str">
        <f>+K10</f>
        <v>Dual Use</v>
      </c>
      <c r="L57" s="81" t="str">
        <f t="shared" si="6"/>
        <v>Underbuild</v>
      </c>
      <c r="M57" s="81" t="s">
        <v>55</v>
      </c>
      <c r="O57" s="82"/>
    </row>
    <row r="58" spans="2:15">
      <c r="B58" s="9"/>
      <c r="F58" s="73"/>
      <c r="G58" s="73"/>
      <c r="H58" s="73"/>
      <c r="I58" s="73"/>
      <c r="J58" s="73"/>
      <c r="K58" s="73"/>
      <c r="L58" s="73"/>
      <c r="M58" s="73"/>
      <c r="O58" s="11"/>
    </row>
    <row r="59" spans="2:15">
      <c r="B59" s="9"/>
      <c r="C59" t="s">
        <v>14</v>
      </c>
      <c r="D59" t="s">
        <v>27</v>
      </c>
      <c r="F59" s="84">
        <v>26444.742704582997</v>
      </c>
      <c r="G59" s="84">
        <v>11000.769941321667</v>
      </c>
      <c r="H59" s="84">
        <v>0</v>
      </c>
      <c r="I59" s="84">
        <v>24879.748013451066</v>
      </c>
      <c r="J59" s="84">
        <f>-J32+J31</f>
        <v>905610.52666666359</v>
      </c>
      <c r="K59" s="84">
        <v>1664.7747970075</v>
      </c>
      <c r="L59" s="84">
        <v>3824.5203749895627</v>
      </c>
      <c r="M59" s="73">
        <f t="shared" ref="M59:M70" si="7">SUM(F59:L59)</f>
        <v>973425.08249801642</v>
      </c>
      <c r="O59" s="11"/>
    </row>
    <row r="60" spans="2:15">
      <c r="B60" s="9"/>
      <c r="C60" t="s">
        <v>15</v>
      </c>
      <c r="D60" t="s">
        <v>27</v>
      </c>
      <c r="F60" s="84">
        <v>26444.442704583416</v>
      </c>
      <c r="G60" s="84">
        <v>11000.769941321667</v>
      </c>
      <c r="H60" s="84">
        <v>0</v>
      </c>
      <c r="I60" s="84">
        <v>24879.748013451066</v>
      </c>
      <c r="J60" s="84">
        <f t="shared" ref="J60:J70" si="8">-J33+J32</f>
        <v>905609.09666667134</v>
      </c>
      <c r="K60" s="84">
        <v>1664.7747970075</v>
      </c>
      <c r="L60" s="84">
        <v>3824.5203749895627</v>
      </c>
      <c r="M60" s="73">
        <f t="shared" si="7"/>
        <v>973423.35249802459</v>
      </c>
      <c r="O60" s="11"/>
    </row>
    <row r="61" spans="2:15">
      <c r="B61" s="9"/>
      <c r="C61" t="s">
        <v>16</v>
      </c>
      <c r="D61" t="s">
        <v>27</v>
      </c>
      <c r="F61" s="84">
        <v>26444.032704583558</v>
      </c>
      <c r="G61" s="84">
        <v>11000.769941321667</v>
      </c>
      <c r="H61" s="84">
        <v>0</v>
      </c>
      <c r="I61" s="84">
        <v>24879.748013451066</v>
      </c>
      <c r="J61" s="84">
        <f t="shared" si="8"/>
        <v>905610.50666666776</v>
      </c>
      <c r="K61" s="84">
        <v>1664.7747970075</v>
      </c>
      <c r="L61" s="84">
        <v>3824.5203749895627</v>
      </c>
      <c r="M61" s="73">
        <f t="shared" si="7"/>
        <v>973424.35249802121</v>
      </c>
      <c r="O61" s="11"/>
    </row>
    <row r="62" spans="2:15">
      <c r="B62" s="9"/>
      <c r="C62" t="s">
        <v>17</v>
      </c>
      <c r="D62" t="s">
        <v>27</v>
      </c>
      <c r="F62" s="84">
        <v>26443.673524250029</v>
      </c>
      <c r="G62" s="84">
        <v>11000.769941321667</v>
      </c>
      <c r="H62" s="84">
        <v>0</v>
      </c>
      <c r="I62" s="84">
        <v>24879.748013451066</v>
      </c>
      <c r="J62" s="84">
        <f t="shared" si="8"/>
        <v>905609.05666665733</v>
      </c>
      <c r="K62" s="84">
        <v>1664.7747970075</v>
      </c>
      <c r="L62" s="84">
        <v>3824.5203749895627</v>
      </c>
      <c r="M62" s="73">
        <f t="shared" si="7"/>
        <v>973422.54331767722</v>
      </c>
      <c r="O62" s="11"/>
    </row>
    <row r="63" spans="2:15">
      <c r="B63" s="9"/>
      <c r="C63" t="s">
        <v>18</v>
      </c>
      <c r="D63" t="s">
        <v>27</v>
      </c>
      <c r="F63" s="84">
        <v>26443.309999999794</v>
      </c>
      <c r="G63" s="84">
        <v>11000.769941321667</v>
      </c>
      <c r="H63" s="84">
        <v>0</v>
      </c>
      <c r="I63" s="84">
        <v>24879.748013451066</v>
      </c>
      <c r="J63" s="84">
        <f t="shared" si="8"/>
        <v>905610.67666666955</v>
      </c>
      <c r="K63" s="84">
        <v>1664.7747970075</v>
      </c>
      <c r="L63" s="84">
        <v>3824.5203749895627</v>
      </c>
      <c r="M63" s="73">
        <f t="shared" si="7"/>
        <v>973423.79979343922</v>
      </c>
      <c r="O63" s="11"/>
    </row>
    <row r="64" spans="2:15">
      <c r="B64" s="9"/>
      <c r="C64" t="s">
        <v>19</v>
      </c>
      <c r="D64" t="s">
        <v>27</v>
      </c>
      <c r="F64" s="84">
        <v>26442.979999999734</v>
      </c>
      <c r="G64" s="84">
        <v>11000.769941321667</v>
      </c>
      <c r="H64" s="84">
        <v>0</v>
      </c>
      <c r="I64" s="84">
        <v>24879.748013451066</v>
      </c>
      <c r="J64" s="84">
        <f>-J37+J36</f>
        <v>909039.86666666716</v>
      </c>
      <c r="K64" s="84">
        <v>1664.7747970075</v>
      </c>
      <c r="L64" s="84">
        <v>3824.5203749895627</v>
      </c>
      <c r="M64" s="73">
        <f t="shared" si="7"/>
        <v>976852.65979343676</v>
      </c>
      <c r="O64" s="11"/>
    </row>
    <row r="65" spans="2:16">
      <c r="B65" s="9"/>
      <c r="C65" t="s">
        <v>20</v>
      </c>
      <c r="D65" t="s">
        <v>27</v>
      </c>
      <c r="F65" s="84">
        <v>26442.63000000031</v>
      </c>
      <c r="G65" s="84">
        <v>11000.769941321667</v>
      </c>
      <c r="H65" s="84">
        <v>0</v>
      </c>
      <c r="I65" s="84">
        <v>24879.748013451066</v>
      </c>
      <c r="J65" s="84">
        <f t="shared" si="8"/>
        <v>909036.31666667759</v>
      </c>
      <c r="K65" s="84">
        <v>1664.7747970075</v>
      </c>
      <c r="L65" s="84">
        <v>3824.5203749895627</v>
      </c>
      <c r="M65" s="73">
        <f t="shared" si="7"/>
        <v>976848.7597934478</v>
      </c>
      <c r="O65" s="11"/>
    </row>
    <row r="66" spans="2:16">
      <c r="B66" s="9"/>
      <c r="C66" t="s">
        <v>21</v>
      </c>
      <c r="D66" t="s">
        <v>27</v>
      </c>
      <c r="F66" s="84">
        <v>26442.240000000122</v>
      </c>
      <c r="G66" s="84">
        <v>11000.769941321667</v>
      </c>
      <c r="H66" s="84">
        <v>0</v>
      </c>
      <c r="I66" s="84">
        <v>24879.748013451066</v>
      </c>
      <c r="J66" s="84">
        <f>-J39+J38</f>
        <v>909039.91666666418</v>
      </c>
      <c r="K66" s="84">
        <v>1664.7747970075</v>
      </c>
      <c r="L66" s="84">
        <v>3824.5203749895627</v>
      </c>
      <c r="M66" s="73">
        <f t="shared" si="7"/>
        <v>976851.96979343414</v>
      </c>
      <c r="N66" s="47"/>
      <c r="O66" s="11"/>
    </row>
    <row r="67" spans="2:16">
      <c r="B67" s="9"/>
      <c r="C67" t="s">
        <v>22</v>
      </c>
      <c r="D67" t="s">
        <v>27</v>
      </c>
      <c r="F67" s="84">
        <v>26441.889999999737</v>
      </c>
      <c r="G67" s="84">
        <v>11000.769941321667</v>
      </c>
      <c r="H67" s="84">
        <v>0</v>
      </c>
      <c r="I67" s="84">
        <v>24879.748013451066</v>
      </c>
      <c r="J67" s="84">
        <f t="shared" si="8"/>
        <v>909036.31666667014</v>
      </c>
      <c r="K67" s="84">
        <v>1664.7747970075</v>
      </c>
      <c r="L67" s="84">
        <v>3824.5203749895627</v>
      </c>
      <c r="M67" s="73">
        <f t="shared" si="7"/>
        <v>976848.01979343977</v>
      </c>
      <c r="O67" s="11"/>
      <c r="P67" s="12"/>
    </row>
    <row r="68" spans="2:16">
      <c r="B68" s="9"/>
      <c r="C68" t="s">
        <v>23</v>
      </c>
      <c r="D68" t="s">
        <v>27</v>
      </c>
      <c r="F68" s="84">
        <v>26441.630000000165</v>
      </c>
      <c r="G68" s="84">
        <v>11000.769941321667</v>
      </c>
      <c r="H68" s="84">
        <v>0</v>
      </c>
      <c r="I68" s="84">
        <v>24879.748013451066</v>
      </c>
      <c r="J68" s="84">
        <f t="shared" si="8"/>
        <v>909039.87666666508</v>
      </c>
      <c r="K68" s="84">
        <v>1664.7747970075</v>
      </c>
      <c r="L68" s="84">
        <v>3824.5203749895627</v>
      </c>
      <c r="M68" s="73">
        <f t="shared" si="7"/>
        <v>976851.31979343516</v>
      </c>
      <c r="O68" s="11"/>
    </row>
    <row r="69" spans="2:16">
      <c r="B69" s="9"/>
      <c r="C69" t="s">
        <v>24</v>
      </c>
      <c r="D69" t="s">
        <v>27</v>
      </c>
      <c r="F69" s="84">
        <v>26410.459999999861</v>
      </c>
      <c r="G69" s="84">
        <v>11000.769941321667</v>
      </c>
      <c r="H69" s="84">
        <v>0</v>
      </c>
      <c r="I69" s="84">
        <v>24879.748013451066</v>
      </c>
      <c r="J69" s="84">
        <f t="shared" si="8"/>
        <v>909036.2866666615</v>
      </c>
      <c r="K69" s="84">
        <v>1664.7747970075</v>
      </c>
      <c r="L69" s="84">
        <v>3824.5203749895627</v>
      </c>
      <c r="M69" s="73">
        <f t="shared" si="7"/>
        <v>976816.5597934312</v>
      </c>
      <c r="O69" s="11"/>
    </row>
    <row r="70" spans="2:16">
      <c r="B70" s="9"/>
      <c r="C70" t="s">
        <v>13</v>
      </c>
      <c r="D70" t="s">
        <v>27</v>
      </c>
      <c r="F70" s="84">
        <v>26410.119999999835</v>
      </c>
      <c r="G70" s="84">
        <v>11000.769941321667</v>
      </c>
      <c r="H70" s="84">
        <v>0</v>
      </c>
      <c r="I70" s="84">
        <v>24879.748013451066</v>
      </c>
      <c r="J70" s="84">
        <f t="shared" si="8"/>
        <v>909039.91666666418</v>
      </c>
      <c r="K70" s="84">
        <v>1664.7747970075</v>
      </c>
      <c r="L70" s="84">
        <v>3824.5203749895627</v>
      </c>
      <c r="M70" s="73">
        <f t="shared" si="7"/>
        <v>976819.84979343391</v>
      </c>
      <c r="O70" s="11"/>
    </row>
    <row r="71" spans="2:16">
      <c r="B71" s="9"/>
      <c r="C71" s="1" t="s">
        <v>536</v>
      </c>
      <c r="F71" s="252">
        <f>SUM(F59:F70)</f>
        <v>317252.15163799952</v>
      </c>
      <c r="G71" s="252">
        <f t="shared" ref="G71:M71" si="9">SUM(G58:G70)</f>
        <v>132009.23929585997</v>
      </c>
      <c r="H71" s="252">
        <f t="shared" si="9"/>
        <v>0</v>
      </c>
      <c r="I71" s="252">
        <f t="shared" si="9"/>
        <v>298556.97616141272</v>
      </c>
      <c r="J71" s="252">
        <f t="shared" si="9"/>
        <v>10891318.359999999</v>
      </c>
      <c r="K71" s="252">
        <f t="shared" si="9"/>
        <v>19977.29756409</v>
      </c>
      <c r="L71" s="252">
        <f t="shared" si="9"/>
        <v>45894.244499874738</v>
      </c>
      <c r="M71" s="252">
        <f t="shared" si="9"/>
        <v>11705008.269159239</v>
      </c>
      <c r="N71" t="s">
        <v>1177</v>
      </c>
      <c r="O71" s="11"/>
    </row>
    <row r="72" spans="2:16">
      <c r="B72" s="9"/>
      <c r="C72" s="1"/>
      <c r="F72" s="10"/>
      <c r="G72" s="10"/>
      <c r="H72" s="10"/>
      <c r="I72" s="10"/>
      <c r="J72" s="10"/>
      <c r="K72" s="10"/>
      <c r="L72" s="10"/>
      <c r="M72" s="10"/>
      <c r="O72" s="11"/>
    </row>
    <row r="73" spans="2:16" ht="15.75" thickBot="1">
      <c r="B73" s="14"/>
      <c r="C73" s="15"/>
      <c r="D73" s="15"/>
      <c r="E73" s="15"/>
      <c r="F73" s="16"/>
      <c r="G73" s="16"/>
      <c r="H73" s="16"/>
      <c r="I73" s="16"/>
      <c r="J73" s="16"/>
      <c r="K73" s="16"/>
      <c r="L73" s="16"/>
      <c r="M73" s="15"/>
      <c r="N73" s="15"/>
      <c r="O73" s="17"/>
    </row>
    <row r="74" spans="2:16" ht="15.75" thickBot="1"/>
    <row r="75" spans="2:16">
      <c r="B75" s="5" t="s">
        <v>934</v>
      </c>
      <c r="C75" s="6"/>
      <c r="D75" s="6"/>
      <c r="E75" s="6"/>
      <c r="F75" s="7"/>
      <c r="G75" s="7"/>
      <c r="H75" s="7"/>
      <c r="I75" s="7"/>
      <c r="J75" s="7"/>
      <c r="K75" s="7"/>
      <c r="L75" s="7"/>
      <c r="M75" s="6"/>
      <c r="N75" s="6"/>
      <c r="O75" s="8"/>
    </row>
    <row r="76" spans="2:16">
      <c r="B76" s="9"/>
      <c r="C76" s="1" t="s">
        <v>201</v>
      </c>
      <c r="F76" s="73"/>
      <c r="G76" s="73"/>
      <c r="H76" s="73"/>
      <c r="I76" s="73"/>
      <c r="J76" s="73"/>
      <c r="K76" s="73"/>
      <c r="L76" s="73"/>
      <c r="O76" s="11"/>
    </row>
    <row r="77" spans="2:16" s="70" customFormat="1" ht="75">
      <c r="B77" s="79"/>
      <c r="C77" s="80" t="s">
        <v>940</v>
      </c>
      <c r="D77" s="80" t="s">
        <v>11</v>
      </c>
      <c r="E77" s="80"/>
      <c r="F77" s="81" t="str">
        <f t="shared" ref="F77:L77" si="10">+F30</f>
        <v>Generation step up Transformers</v>
      </c>
      <c r="G77" s="81" t="str">
        <f t="shared" si="10"/>
        <v>Generator interconnection Facilities</v>
      </c>
      <c r="H77" s="81" t="str">
        <f t="shared" si="10"/>
        <v>Noe Substation and 115kV Transmission Lines</v>
      </c>
      <c r="I77" s="81" t="str">
        <f t="shared" si="10"/>
        <v>Radial Lines</v>
      </c>
      <c r="J77" s="483" t="str">
        <f t="shared" si="10"/>
        <v>Investment Collected Through Incremental Rates</v>
      </c>
      <c r="K77" s="81" t="str">
        <f t="shared" si="10"/>
        <v>Dual Use</v>
      </c>
      <c r="L77" s="81" t="str">
        <f t="shared" si="10"/>
        <v>Underbuild</v>
      </c>
      <c r="M77" s="81" t="s">
        <v>55</v>
      </c>
      <c r="O77" s="82"/>
    </row>
    <row r="78" spans="2:16">
      <c r="B78" s="9"/>
      <c r="C78" t="s">
        <v>935</v>
      </c>
      <c r="D78" t="s">
        <v>27</v>
      </c>
      <c r="F78" s="84">
        <v>14875.346632222863</v>
      </c>
      <c r="G78" s="84">
        <v>8114.0790012744874</v>
      </c>
      <c r="H78" s="84">
        <v>0</v>
      </c>
      <c r="I78" s="84">
        <v>0</v>
      </c>
      <c r="J78" s="84">
        <v>0</v>
      </c>
      <c r="K78" s="84">
        <v>2171.8017687821766</v>
      </c>
      <c r="L78" s="84">
        <v>0</v>
      </c>
      <c r="M78" s="73">
        <f>SUM(F78:L78)</f>
        <v>25161.227402279528</v>
      </c>
      <c r="O78" s="11"/>
    </row>
    <row r="79" spans="2:16">
      <c r="B79" s="9"/>
      <c r="C79" t="s">
        <v>936</v>
      </c>
      <c r="D79" t="s">
        <v>27</v>
      </c>
      <c r="F79" s="84">
        <v>0</v>
      </c>
      <c r="G79" s="84">
        <v>0</v>
      </c>
      <c r="H79" s="84">
        <v>0</v>
      </c>
      <c r="I79" s="84">
        <v>3789.3651370659986</v>
      </c>
      <c r="J79" s="84">
        <v>0</v>
      </c>
      <c r="K79" s="84">
        <v>0</v>
      </c>
      <c r="L79" s="84">
        <v>1212.8580832857956</v>
      </c>
      <c r="M79" s="73">
        <f>SUM(F79:L79)</f>
        <v>5002.2232203517942</v>
      </c>
      <c r="O79" s="11"/>
    </row>
    <row r="80" spans="2:16">
      <c r="B80" s="9"/>
      <c r="C80" t="s">
        <v>937</v>
      </c>
      <c r="D80" t="s">
        <v>27</v>
      </c>
      <c r="F80" s="84">
        <v>0</v>
      </c>
      <c r="G80" s="84">
        <v>0</v>
      </c>
      <c r="H80" s="84">
        <v>0</v>
      </c>
      <c r="I80" s="84">
        <v>24643.540584923368</v>
      </c>
      <c r="J80" s="84">
        <v>1279461.4124660038</v>
      </c>
      <c r="K80" s="84">
        <v>0</v>
      </c>
      <c r="L80" s="84">
        <v>7887.6319167142065</v>
      </c>
      <c r="M80" s="73">
        <f>SUM(F80:L80)</f>
        <v>1311992.5849676414</v>
      </c>
      <c r="O80" s="11"/>
    </row>
    <row r="81" spans="2:16">
      <c r="B81" s="9"/>
      <c r="C81" t="s">
        <v>1464</v>
      </c>
      <c r="D81" t="s">
        <v>27</v>
      </c>
      <c r="F81" s="84">
        <v>31671.950393927851</v>
      </c>
      <c r="G81" s="84">
        <v>17276.149186607203</v>
      </c>
      <c r="H81" s="84">
        <v>0</v>
      </c>
      <c r="I81" s="84">
        <v>0</v>
      </c>
      <c r="J81" s="84">
        <v>0</v>
      </c>
      <c r="K81" s="84">
        <v>4624.1072283527083</v>
      </c>
      <c r="L81" s="84">
        <v>0</v>
      </c>
      <c r="M81" s="126">
        <f>SUM(F81:L81)</f>
        <v>53572.206808887764</v>
      </c>
      <c r="O81" s="11"/>
    </row>
    <row r="82" spans="2:16">
      <c r="B82" s="9"/>
      <c r="C82" s="1" t="s">
        <v>536</v>
      </c>
      <c r="F82" s="252">
        <f t="shared" ref="F82:M82" si="11">SUM(F78:F81)</f>
        <v>46547.297026150714</v>
      </c>
      <c r="G82" s="252">
        <f t="shared" si="11"/>
        <v>25390.22818788169</v>
      </c>
      <c r="H82" s="252">
        <f t="shared" si="11"/>
        <v>0</v>
      </c>
      <c r="I82" s="252">
        <f t="shared" si="11"/>
        <v>28432.905721989366</v>
      </c>
      <c r="J82" s="252">
        <f t="shared" si="11"/>
        <v>1279461.4124660038</v>
      </c>
      <c r="K82" s="252">
        <f t="shared" si="11"/>
        <v>6795.9089971348849</v>
      </c>
      <c r="L82" s="252">
        <f t="shared" si="11"/>
        <v>9100.4900000000016</v>
      </c>
      <c r="M82" s="73">
        <f t="shared" si="11"/>
        <v>1395728.2423991603</v>
      </c>
      <c r="N82" t="s">
        <v>941</v>
      </c>
      <c r="O82" s="11"/>
    </row>
    <row r="83" spans="2:16">
      <c r="B83" s="9"/>
      <c r="C83" s="1"/>
      <c r="F83" s="10"/>
      <c r="G83" s="10"/>
      <c r="H83" s="10"/>
      <c r="I83" s="10"/>
      <c r="J83" s="10"/>
      <c r="K83" s="10"/>
      <c r="L83" s="10"/>
      <c r="M83" s="10"/>
      <c r="O83" s="11"/>
    </row>
    <row r="84" spans="2:16" ht="15.75" thickBot="1">
      <c r="B84" s="14"/>
      <c r="C84" s="15"/>
      <c r="D84" s="15"/>
      <c r="E84" s="15"/>
      <c r="F84" s="16"/>
      <c r="G84" s="16"/>
      <c r="H84" s="16"/>
      <c r="I84" s="16"/>
      <c r="J84" s="16"/>
      <c r="K84" s="16"/>
      <c r="L84" s="16"/>
      <c r="M84" s="15"/>
      <c r="N84" s="15"/>
      <c r="O84" s="17"/>
    </row>
    <row r="85" spans="2:16" ht="15.75" thickBot="1"/>
    <row r="86" spans="2:16">
      <c r="B86" s="5" t="s">
        <v>938</v>
      </c>
      <c r="C86" s="6"/>
      <c r="D86" s="6"/>
      <c r="E86" s="6"/>
      <c r="F86" s="7"/>
      <c r="G86" s="7"/>
      <c r="H86" s="7"/>
      <c r="I86" s="7"/>
      <c r="J86" s="7"/>
      <c r="K86" s="7"/>
      <c r="L86" s="7"/>
      <c r="M86" s="6"/>
      <c r="N86" s="6"/>
      <c r="O86" s="8"/>
    </row>
    <row r="87" spans="2:16">
      <c r="B87" s="9"/>
      <c r="C87" s="1" t="s">
        <v>939</v>
      </c>
      <c r="F87" s="10"/>
      <c r="G87" s="10"/>
      <c r="H87" s="10"/>
      <c r="I87" s="10"/>
      <c r="J87" s="10"/>
      <c r="K87" s="10"/>
      <c r="L87" s="10"/>
      <c r="O87" s="11"/>
    </row>
    <row r="88" spans="2:16" s="70" customFormat="1" ht="75">
      <c r="B88" s="79"/>
      <c r="C88" s="80" t="s">
        <v>940</v>
      </c>
      <c r="D88" s="80" t="s">
        <v>11</v>
      </c>
      <c r="E88" s="80"/>
      <c r="F88" s="81" t="str">
        <f t="shared" ref="F88:L88" si="12">+F77</f>
        <v>Generation step up Transformers</v>
      </c>
      <c r="G88" s="81" t="str">
        <f t="shared" si="12"/>
        <v>Generator interconnection Facilities</v>
      </c>
      <c r="H88" s="81" t="str">
        <f t="shared" si="12"/>
        <v>Noe Substation and 115kV Transmission Lines</v>
      </c>
      <c r="I88" s="81" t="str">
        <f t="shared" si="12"/>
        <v>Radial Lines</v>
      </c>
      <c r="J88" s="483" t="str">
        <f t="shared" si="12"/>
        <v>Investment Collected Through Incremental Rates</v>
      </c>
      <c r="K88" s="81" t="str">
        <f t="shared" si="12"/>
        <v>Dual Use</v>
      </c>
      <c r="L88" s="81" t="str">
        <f t="shared" si="12"/>
        <v>Underbuild</v>
      </c>
      <c r="M88" s="81" t="s">
        <v>55</v>
      </c>
      <c r="O88" s="82"/>
    </row>
    <row r="89" spans="2:16">
      <c r="B89" s="9"/>
      <c r="D89" t="s">
        <v>27</v>
      </c>
      <c r="F89" s="126">
        <f>(F24+F44)*0.013</f>
        <v>77370.204570324466</v>
      </c>
      <c r="G89" s="126">
        <f>(G24+G44)*0.013</f>
        <v>42203.248619999998</v>
      </c>
      <c r="H89" s="277">
        <v>0</v>
      </c>
      <c r="I89" s="126">
        <f>(I24+I44)*0.013</f>
        <v>4275.4490760831977</v>
      </c>
      <c r="J89" s="277">
        <v>3109252.564867632</v>
      </c>
      <c r="K89" s="126">
        <f>(K24+K44)*0.013</f>
        <v>2587.8998493178865</v>
      </c>
      <c r="L89" s="126">
        <f>(L24+L44)*0.013</f>
        <v>5488.2832921472909</v>
      </c>
      <c r="M89" s="126">
        <f>SUM(F89:L89)</f>
        <v>3241177.6502755051</v>
      </c>
      <c r="O89" s="11"/>
      <c r="P89" s="12"/>
    </row>
    <row r="90" spans="2:16">
      <c r="B90" s="9"/>
      <c r="C90" s="1" t="s">
        <v>536</v>
      </c>
      <c r="F90" s="10">
        <f t="shared" ref="F90:M90" si="13">SUM(F89:F89)</f>
        <v>77370.204570324466</v>
      </c>
      <c r="G90" s="10">
        <f t="shared" si="13"/>
        <v>42203.248619999998</v>
      </c>
      <c r="H90" s="10">
        <f t="shared" si="13"/>
        <v>0</v>
      </c>
      <c r="I90" s="10">
        <f t="shared" si="13"/>
        <v>4275.4490760831977</v>
      </c>
      <c r="J90" s="10">
        <f t="shared" si="13"/>
        <v>3109252.564867632</v>
      </c>
      <c r="K90" s="10">
        <f t="shared" si="13"/>
        <v>2587.8998493178865</v>
      </c>
      <c r="L90" s="10">
        <f t="shared" si="13"/>
        <v>5488.2832921472909</v>
      </c>
      <c r="M90" s="10">
        <f t="shared" si="13"/>
        <v>3241177.6502755051</v>
      </c>
      <c r="N90" t="s">
        <v>1178</v>
      </c>
      <c r="O90" s="11"/>
    </row>
    <row r="91" spans="2:16">
      <c r="B91" s="9"/>
      <c r="C91" s="1"/>
      <c r="F91" s="10"/>
      <c r="G91" s="10"/>
      <c r="H91" s="10"/>
      <c r="I91" s="10"/>
      <c r="J91" s="10"/>
      <c r="K91" s="10"/>
      <c r="L91" s="10"/>
      <c r="M91" s="10"/>
      <c r="O91" s="11"/>
    </row>
    <row r="92" spans="2:16" ht="15.75" thickBot="1">
      <c r="B92" s="14"/>
      <c r="C92" s="15"/>
      <c r="D92" s="15"/>
      <c r="E92" s="15"/>
      <c r="F92" s="16"/>
      <c r="G92" s="16"/>
      <c r="H92" s="16"/>
      <c r="I92" s="16"/>
      <c r="J92" s="16"/>
      <c r="K92" s="16"/>
      <c r="L92" s="16"/>
      <c r="M92" s="15"/>
      <c r="N92" s="15"/>
      <c r="O92" s="17"/>
    </row>
  </sheetData>
  <pageMargins left="0.7" right="0.7" top="0.75" bottom="0.75" header="0.3" footer="0.3"/>
  <pageSetup scale="45" fitToHeight="0" orientation="landscape" cellComments="asDisplayed" r:id="rId1"/>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44"/>
  <sheetViews>
    <sheetView workbookViewId="0">
      <selection activeCell="H4" sqref="H4"/>
    </sheetView>
  </sheetViews>
  <sheetFormatPr defaultColWidth="9.140625" defaultRowHeight="15"/>
  <cols>
    <col min="1" max="1" width="28.28515625" customWidth="1"/>
    <col min="2" max="2" width="22.42578125" customWidth="1"/>
    <col min="3" max="3" width="14.7109375" customWidth="1"/>
    <col min="4" max="4" width="15.85546875" bestFit="1" customWidth="1"/>
    <col min="5" max="5" width="14.28515625" bestFit="1" customWidth="1"/>
    <col min="6" max="6" width="16.42578125" bestFit="1" customWidth="1"/>
    <col min="7" max="7" width="20" customWidth="1"/>
    <col min="8" max="9" width="16.7109375" customWidth="1"/>
    <col min="10" max="10" width="31.140625" bestFit="1" customWidth="1"/>
    <col min="12" max="12" width="6.7109375" bestFit="1" customWidth="1"/>
  </cols>
  <sheetData>
    <row r="1" spans="1:15">
      <c r="A1" s="1" t="s">
        <v>0</v>
      </c>
    </row>
    <row r="2" spans="1:15">
      <c r="A2" s="1" t="s">
        <v>1398</v>
      </c>
    </row>
    <row r="3" spans="1:15" ht="39">
      <c r="A3" s="597" t="s">
        <v>1000</v>
      </c>
      <c r="B3" s="597"/>
      <c r="C3" s="145" t="s">
        <v>1001</v>
      </c>
      <c r="D3" s="145" t="s">
        <v>1002</v>
      </c>
      <c r="E3" s="145" t="s">
        <v>1003</v>
      </c>
      <c r="F3" s="145" t="s">
        <v>1004</v>
      </c>
      <c r="G3" s="145" t="s">
        <v>1764</v>
      </c>
      <c r="H3" s="146" t="s">
        <v>1005</v>
      </c>
      <c r="I3" s="146" t="s">
        <v>1825</v>
      </c>
      <c r="J3" s="147"/>
      <c r="K3" s="147"/>
      <c r="L3" s="147"/>
      <c r="M3" s="147"/>
      <c r="N3" s="147"/>
      <c r="O3" s="147"/>
    </row>
    <row r="4" spans="1:15">
      <c r="A4" s="147" t="s">
        <v>1006</v>
      </c>
      <c r="B4" s="147" t="s">
        <v>1007</v>
      </c>
      <c r="C4" s="148" t="s">
        <v>1008</v>
      </c>
      <c r="D4" s="148">
        <v>1</v>
      </c>
      <c r="E4" s="500">
        <v>0.47</v>
      </c>
      <c r="F4" s="149" t="s">
        <v>1009</v>
      </c>
      <c r="G4" s="441">
        <v>-554.67759050000006</v>
      </c>
      <c r="H4" s="441">
        <v>64.267640999999998</v>
      </c>
      <c r="I4" s="441">
        <f>G4-H4</f>
        <v>-618.94523150000009</v>
      </c>
      <c r="J4" s="150"/>
      <c r="K4" s="147"/>
      <c r="L4" s="147"/>
      <c r="M4" s="147"/>
      <c r="N4" s="147"/>
      <c r="O4" s="147"/>
    </row>
    <row r="5" spans="1:15">
      <c r="A5" s="147" t="s">
        <v>1010</v>
      </c>
      <c r="B5" s="147" t="s">
        <v>1007</v>
      </c>
      <c r="C5" s="148" t="s">
        <v>1011</v>
      </c>
      <c r="D5" s="148">
        <v>1</v>
      </c>
      <c r="E5" s="500">
        <v>0.56000000000000005</v>
      </c>
      <c r="F5" s="149" t="s">
        <v>1012</v>
      </c>
      <c r="G5" s="441">
        <v>-2161.3927510000049</v>
      </c>
      <c r="H5" s="441">
        <v>6181.8182330000009</v>
      </c>
      <c r="I5" s="441">
        <f t="shared" ref="I5:I31" si="0">G5-H5</f>
        <v>-8343.2109840000048</v>
      </c>
      <c r="J5" s="150"/>
      <c r="K5" s="147"/>
      <c r="L5" s="147"/>
      <c r="M5" s="147"/>
      <c r="N5" s="147"/>
      <c r="O5" s="147"/>
    </row>
    <row r="6" spans="1:15">
      <c r="A6" s="147" t="s">
        <v>1013</v>
      </c>
      <c r="B6" s="147" t="s">
        <v>1007</v>
      </c>
      <c r="C6" s="148" t="s">
        <v>1014</v>
      </c>
      <c r="D6" s="148">
        <v>1</v>
      </c>
      <c r="E6" s="500">
        <v>0.41</v>
      </c>
      <c r="F6" s="149" t="s">
        <v>1015</v>
      </c>
      <c r="G6" s="441">
        <v>-3646.7416319999979</v>
      </c>
      <c r="H6" s="441">
        <v>1707.5378040000001</v>
      </c>
      <c r="I6" s="441">
        <f t="shared" si="0"/>
        <v>-5354.279435999998</v>
      </c>
      <c r="J6" s="150"/>
      <c r="K6" s="147"/>
      <c r="L6" s="147"/>
      <c r="M6" s="147"/>
      <c r="N6" s="147"/>
      <c r="O6" s="147"/>
    </row>
    <row r="7" spans="1:15">
      <c r="A7" s="147" t="s">
        <v>1016</v>
      </c>
      <c r="B7" s="147" t="s">
        <v>1017</v>
      </c>
      <c r="C7" s="148" t="s">
        <v>1018</v>
      </c>
      <c r="D7" s="148">
        <v>1</v>
      </c>
      <c r="E7" s="500">
        <v>2.2799999999999998</v>
      </c>
      <c r="F7" s="149" t="s">
        <v>1012</v>
      </c>
      <c r="G7" s="441">
        <v>-6058.5870184999994</v>
      </c>
      <c r="H7" s="441">
        <v>1932.0525770000002</v>
      </c>
      <c r="I7" s="441">
        <f t="shared" si="0"/>
        <v>-7990.6395954999998</v>
      </c>
      <c r="J7" s="150"/>
      <c r="K7" s="147"/>
      <c r="L7" s="147"/>
      <c r="M7" s="147"/>
      <c r="N7" s="147"/>
      <c r="O7" s="147"/>
    </row>
    <row r="8" spans="1:15">
      <c r="A8" s="147" t="s">
        <v>1019</v>
      </c>
      <c r="B8" s="147" t="s">
        <v>1020</v>
      </c>
      <c r="C8" s="148" t="s">
        <v>1021</v>
      </c>
      <c r="D8" s="148">
        <v>1</v>
      </c>
      <c r="E8" s="500">
        <v>0.51</v>
      </c>
      <c r="F8" s="149" t="s">
        <v>1012</v>
      </c>
      <c r="G8" s="441">
        <v>-10330.3957665</v>
      </c>
      <c r="H8" s="441">
        <v>1257.2016630000001</v>
      </c>
      <c r="I8" s="441">
        <f t="shared" si="0"/>
        <v>-11587.5974295</v>
      </c>
      <c r="J8" s="150"/>
      <c r="K8" s="147"/>
      <c r="L8" s="147"/>
      <c r="M8" s="147"/>
      <c r="N8" s="147"/>
      <c r="O8" s="147"/>
    </row>
    <row r="9" spans="1:15">
      <c r="A9" s="147" t="s">
        <v>1022</v>
      </c>
      <c r="B9" s="147" t="s">
        <v>1023</v>
      </c>
      <c r="C9" s="148" t="s">
        <v>1024</v>
      </c>
      <c r="D9" s="148">
        <v>2</v>
      </c>
      <c r="E9" s="500">
        <v>0.38</v>
      </c>
      <c r="F9" s="149" t="s">
        <v>1025</v>
      </c>
      <c r="G9" s="441">
        <v>-1250.3410664999999</v>
      </c>
      <c r="H9" s="441">
        <v>248.61866300000003</v>
      </c>
      <c r="I9" s="441">
        <f t="shared" si="0"/>
        <v>-1498.9597294999999</v>
      </c>
      <c r="J9" s="150"/>
      <c r="K9" s="147"/>
      <c r="L9" s="147"/>
      <c r="M9" s="147"/>
      <c r="N9" s="147"/>
      <c r="O9" s="147"/>
    </row>
    <row r="10" spans="1:15">
      <c r="A10" s="147" t="s">
        <v>1026</v>
      </c>
      <c r="B10" s="147" t="s">
        <v>1027</v>
      </c>
      <c r="C10" s="148" t="s">
        <v>1028</v>
      </c>
      <c r="D10" s="148">
        <v>2</v>
      </c>
      <c r="E10" s="500">
        <v>1.6</v>
      </c>
      <c r="F10" s="149" t="s">
        <v>1015</v>
      </c>
      <c r="G10" s="441">
        <v>7039.8376319999952</v>
      </c>
      <c r="H10" s="441">
        <v>10004.601486</v>
      </c>
      <c r="I10" s="441">
        <f t="shared" si="0"/>
        <v>-2964.7638540000044</v>
      </c>
      <c r="J10" s="150"/>
      <c r="K10" s="147"/>
      <c r="L10" s="147"/>
      <c r="M10" s="147"/>
      <c r="N10" s="147"/>
      <c r="O10" s="147"/>
    </row>
    <row r="11" spans="1:15">
      <c r="A11" s="147" t="s">
        <v>1029</v>
      </c>
      <c r="B11" s="147" t="s">
        <v>1030</v>
      </c>
      <c r="C11" s="148" t="s">
        <v>1031</v>
      </c>
      <c r="D11" s="148">
        <v>2</v>
      </c>
      <c r="E11" s="500">
        <v>0.25</v>
      </c>
      <c r="F11" s="149" t="s">
        <v>1009</v>
      </c>
      <c r="G11" s="441">
        <v>16855.547509000007</v>
      </c>
      <c r="H11" s="441">
        <v>702.4319119999999</v>
      </c>
      <c r="I11" s="441">
        <f t="shared" si="0"/>
        <v>16153.115597000007</v>
      </c>
      <c r="J11" s="150"/>
      <c r="K11" s="147"/>
      <c r="L11" s="147"/>
      <c r="M11" s="147"/>
      <c r="N11" s="147"/>
      <c r="O11" s="147"/>
    </row>
    <row r="12" spans="1:15">
      <c r="A12" s="147" t="s">
        <v>1032</v>
      </c>
      <c r="B12" s="147" t="s">
        <v>1033</v>
      </c>
      <c r="C12" s="148" t="s">
        <v>1031</v>
      </c>
      <c r="D12" s="148">
        <v>3</v>
      </c>
      <c r="E12" s="500">
        <v>0.11</v>
      </c>
      <c r="F12" s="149" t="s">
        <v>1034</v>
      </c>
      <c r="G12" s="441">
        <v>199730.46499250008</v>
      </c>
      <c r="H12" s="441">
        <v>10437.279465</v>
      </c>
      <c r="I12" s="441">
        <f t="shared" si="0"/>
        <v>189293.18552750009</v>
      </c>
      <c r="J12" s="150"/>
      <c r="K12" s="151"/>
      <c r="L12" s="152"/>
      <c r="M12" s="147"/>
      <c r="N12" s="147"/>
      <c r="O12" s="147"/>
    </row>
    <row r="13" spans="1:15">
      <c r="A13" s="147" t="s">
        <v>1035</v>
      </c>
      <c r="B13" s="147" t="s">
        <v>1036</v>
      </c>
      <c r="C13" s="148" t="s">
        <v>1037</v>
      </c>
      <c r="D13" s="148">
        <v>3</v>
      </c>
      <c r="E13" s="500">
        <v>1.27</v>
      </c>
      <c r="F13" s="149" t="s">
        <v>1015</v>
      </c>
      <c r="G13" s="441">
        <v>31781.485044000001</v>
      </c>
      <c r="H13" s="441">
        <v>13793.573321999998</v>
      </c>
      <c r="I13" s="441">
        <f t="shared" si="0"/>
        <v>17987.911722000004</v>
      </c>
      <c r="J13" s="150"/>
      <c r="K13" s="151"/>
      <c r="L13" s="152"/>
      <c r="M13" s="147"/>
      <c r="N13" s="147"/>
      <c r="O13" s="147"/>
    </row>
    <row r="14" spans="1:15">
      <c r="A14" s="147" t="s">
        <v>1038</v>
      </c>
      <c r="B14" s="147" t="s">
        <v>1039</v>
      </c>
      <c r="C14" s="148" t="s">
        <v>1040</v>
      </c>
      <c r="D14" s="148">
        <v>4</v>
      </c>
      <c r="E14" s="500">
        <v>8.2899999999999991</v>
      </c>
      <c r="F14" s="149">
        <v>211</v>
      </c>
      <c r="G14" s="441">
        <v>37383.82361327031</v>
      </c>
      <c r="H14" s="441">
        <v>31433.651304999999</v>
      </c>
      <c r="I14" s="441">
        <f t="shared" si="0"/>
        <v>5950.1723082703102</v>
      </c>
      <c r="J14" s="150"/>
      <c r="K14" s="151"/>
      <c r="L14" s="152"/>
      <c r="M14" s="147"/>
      <c r="N14" s="147"/>
      <c r="O14" s="147"/>
    </row>
    <row r="15" spans="1:15">
      <c r="A15" s="147" t="s">
        <v>1041</v>
      </c>
      <c r="B15" s="147" t="s">
        <v>1033</v>
      </c>
      <c r="C15" s="148" t="s">
        <v>1042</v>
      </c>
      <c r="D15" s="148">
        <v>4</v>
      </c>
      <c r="E15" s="500">
        <v>3.7</v>
      </c>
      <c r="F15" s="149">
        <v>211</v>
      </c>
      <c r="G15" s="441">
        <v>-22135.935968000002</v>
      </c>
      <c r="H15" s="441">
        <v>6138.6292139999996</v>
      </c>
      <c r="I15" s="441">
        <f t="shared" si="0"/>
        <v>-28274.565182000002</v>
      </c>
      <c r="J15" s="150"/>
      <c r="K15" s="151"/>
      <c r="L15" s="152"/>
      <c r="M15" s="152"/>
      <c r="N15" s="147"/>
      <c r="O15" s="147"/>
    </row>
    <row r="16" spans="1:15">
      <c r="A16" s="147" t="s">
        <v>1043</v>
      </c>
      <c r="B16" s="147" t="s">
        <v>1044</v>
      </c>
      <c r="C16" s="148" t="s">
        <v>1045</v>
      </c>
      <c r="D16" s="148">
        <v>4</v>
      </c>
      <c r="E16" s="500">
        <v>4.74</v>
      </c>
      <c r="F16" s="149">
        <v>211</v>
      </c>
      <c r="G16" s="441">
        <v>-15679.530584499997</v>
      </c>
      <c r="H16" s="441">
        <v>2148.4809969999997</v>
      </c>
      <c r="I16" s="441">
        <f t="shared" si="0"/>
        <v>-17828.011581499995</v>
      </c>
      <c r="J16" s="150"/>
      <c r="K16" s="151"/>
      <c r="L16" s="152"/>
      <c r="M16" s="147"/>
      <c r="N16" s="147"/>
      <c r="O16" s="147"/>
    </row>
    <row r="17" spans="1:15">
      <c r="A17" s="147" t="s">
        <v>1046</v>
      </c>
      <c r="B17" s="147" t="s">
        <v>1047</v>
      </c>
      <c r="C17" s="148" t="s">
        <v>1048</v>
      </c>
      <c r="D17" s="148">
        <v>4</v>
      </c>
      <c r="E17" s="500">
        <v>1.26</v>
      </c>
      <c r="F17" s="149" t="s">
        <v>1009</v>
      </c>
      <c r="G17" s="441">
        <v>168944.61654899997</v>
      </c>
      <c r="H17" s="441">
        <v>11198.604582</v>
      </c>
      <c r="I17" s="441">
        <f t="shared" si="0"/>
        <v>157746.01196699997</v>
      </c>
      <c r="J17" s="150"/>
      <c r="K17" s="151"/>
      <c r="L17" s="152"/>
      <c r="M17" s="147"/>
      <c r="N17" s="147"/>
      <c r="O17" s="147"/>
    </row>
    <row r="18" spans="1:15">
      <c r="A18" s="147" t="s">
        <v>1049</v>
      </c>
      <c r="B18" s="147" t="s">
        <v>1050</v>
      </c>
      <c r="C18" s="148" t="s">
        <v>1051</v>
      </c>
      <c r="D18" s="148">
        <v>4</v>
      </c>
      <c r="E18" s="501">
        <v>7</v>
      </c>
      <c r="F18" s="154">
        <v>211</v>
      </c>
      <c r="G18" s="441">
        <v>-28119.29985546822</v>
      </c>
      <c r="H18" s="441">
        <v>4249.2582954158461</v>
      </c>
      <c r="I18" s="441">
        <f t="shared" si="0"/>
        <v>-32368.558150884066</v>
      </c>
      <c r="J18" s="349" t="s">
        <v>1052</v>
      </c>
      <c r="K18" s="151"/>
      <c r="L18" s="152"/>
      <c r="M18" s="147"/>
      <c r="N18" s="147"/>
      <c r="O18" s="147"/>
    </row>
    <row r="19" spans="1:15">
      <c r="A19" s="147" t="s">
        <v>1053</v>
      </c>
      <c r="B19" s="147" t="s">
        <v>1054</v>
      </c>
      <c r="C19" s="148" t="s">
        <v>1055</v>
      </c>
      <c r="D19" s="148">
        <v>6</v>
      </c>
      <c r="E19" s="500">
        <v>1.59</v>
      </c>
      <c r="F19" s="149" t="s">
        <v>1056</v>
      </c>
      <c r="G19" s="441">
        <v>-3841.4929080000047</v>
      </c>
      <c r="H19" s="441">
        <v>4102.5062459999999</v>
      </c>
      <c r="I19" s="441">
        <f t="shared" si="0"/>
        <v>-7943.9991540000046</v>
      </c>
      <c r="J19" s="147"/>
      <c r="K19" s="151"/>
      <c r="L19" s="152"/>
      <c r="M19" s="147"/>
      <c r="N19" s="147"/>
      <c r="O19" s="147"/>
    </row>
    <row r="20" spans="1:15">
      <c r="A20" s="147" t="s">
        <v>1057</v>
      </c>
      <c r="B20" s="147" t="s">
        <v>1058</v>
      </c>
      <c r="C20" s="148" t="s">
        <v>1059</v>
      </c>
      <c r="D20" s="148">
        <v>6</v>
      </c>
      <c r="E20" s="500">
        <v>3.79</v>
      </c>
      <c r="F20" s="149" t="s">
        <v>1060</v>
      </c>
      <c r="G20" s="441">
        <v>-61275.648585999952</v>
      </c>
      <c r="H20" s="441">
        <v>26078.694986999999</v>
      </c>
      <c r="I20" s="441">
        <f t="shared" si="0"/>
        <v>-87354.343572999947</v>
      </c>
      <c r="J20" s="147"/>
      <c r="K20" s="151"/>
      <c r="L20" s="152"/>
      <c r="M20" s="147"/>
      <c r="N20" s="147"/>
      <c r="O20" s="147"/>
    </row>
    <row r="21" spans="1:15">
      <c r="A21" s="147" t="s">
        <v>1061</v>
      </c>
      <c r="B21" s="147" t="s">
        <v>1062</v>
      </c>
      <c r="C21" s="148" t="s">
        <v>1063</v>
      </c>
      <c r="D21" s="148">
        <v>6</v>
      </c>
      <c r="E21" s="500">
        <v>4.82</v>
      </c>
      <c r="F21" s="149" t="s">
        <v>1060</v>
      </c>
      <c r="G21" s="441">
        <v>-1755.5883710103826</v>
      </c>
      <c r="H21" s="441">
        <v>5597.6727993811592</v>
      </c>
      <c r="I21" s="441">
        <f t="shared" si="0"/>
        <v>-7353.2611703915418</v>
      </c>
      <c r="J21" s="147"/>
      <c r="K21" s="151"/>
      <c r="L21" s="152"/>
      <c r="M21" s="147"/>
      <c r="N21" s="147"/>
      <c r="O21" s="147"/>
    </row>
    <row r="22" spans="1:15">
      <c r="A22" s="147" t="s">
        <v>1064</v>
      </c>
      <c r="B22" s="147" t="s">
        <v>1065</v>
      </c>
      <c r="C22" s="148" t="s">
        <v>1066</v>
      </c>
      <c r="D22" s="148">
        <v>6</v>
      </c>
      <c r="E22" s="500">
        <v>3.72</v>
      </c>
      <c r="F22" s="149" t="s">
        <v>1067</v>
      </c>
      <c r="G22" s="441">
        <v>6917.0595129999692</v>
      </c>
      <c r="H22" s="441">
        <v>10949.973844000002</v>
      </c>
      <c r="I22" s="441">
        <f t="shared" si="0"/>
        <v>-4032.9143310000327</v>
      </c>
      <c r="J22" s="147" t="s">
        <v>1068</v>
      </c>
      <c r="K22" s="151"/>
      <c r="L22" s="152"/>
      <c r="M22" s="147"/>
      <c r="N22" s="147"/>
      <c r="O22" s="147"/>
    </row>
    <row r="23" spans="1:15">
      <c r="A23" s="147" t="s">
        <v>1069</v>
      </c>
      <c r="B23" s="147" t="s">
        <v>1070</v>
      </c>
      <c r="C23" s="148" t="s">
        <v>1071</v>
      </c>
      <c r="D23" s="148">
        <v>14</v>
      </c>
      <c r="E23" s="500">
        <v>2.44</v>
      </c>
      <c r="F23" s="149" t="s">
        <v>1015</v>
      </c>
      <c r="G23" s="441">
        <v>97588.304584499943</v>
      </c>
      <c r="H23" s="441">
        <v>13447.756994999998</v>
      </c>
      <c r="I23" s="441">
        <f t="shared" si="0"/>
        <v>84140.54758949994</v>
      </c>
      <c r="J23" s="147"/>
      <c r="K23" s="151"/>
      <c r="L23" s="152"/>
      <c r="M23" s="147"/>
      <c r="N23" s="147"/>
      <c r="O23" s="147"/>
    </row>
    <row r="24" spans="1:15">
      <c r="A24" s="147" t="s">
        <v>1072</v>
      </c>
      <c r="B24" s="147" t="s">
        <v>1023</v>
      </c>
      <c r="C24" s="148" t="s">
        <v>1031</v>
      </c>
      <c r="D24" s="148">
        <v>14</v>
      </c>
      <c r="E24" s="500">
        <v>0.62</v>
      </c>
      <c r="F24" s="149" t="s">
        <v>1012</v>
      </c>
      <c r="G24" s="441">
        <v>-13511.248923000006</v>
      </c>
      <c r="H24" s="441">
        <v>7035.5574860000006</v>
      </c>
      <c r="I24" s="441">
        <f t="shared" si="0"/>
        <v>-20546.806409000008</v>
      </c>
      <c r="J24" s="147"/>
      <c r="K24" s="151"/>
      <c r="L24" s="152"/>
      <c r="M24" s="147"/>
      <c r="N24" s="147"/>
      <c r="O24" s="147"/>
    </row>
    <row r="25" spans="1:15">
      <c r="A25" s="147" t="s">
        <v>1073</v>
      </c>
      <c r="B25" s="147" t="s">
        <v>1074</v>
      </c>
      <c r="C25" s="148" t="s">
        <v>1075</v>
      </c>
      <c r="D25" s="148">
        <v>14</v>
      </c>
      <c r="E25" s="500">
        <v>0.61</v>
      </c>
      <c r="F25" s="149" t="s">
        <v>1076</v>
      </c>
      <c r="G25" s="441">
        <v>-18208.446379500012</v>
      </c>
      <c r="H25" s="441">
        <v>3826.423009000001</v>
      </c>
      <c r="I25" s="441">
        <f t="shared" si="0"/>
        <v>-22034.869388500014</v>
      </c>
      <c r="J25" s="147"/>
      <c r="K25" s="151"/>
      <c r="L25" s="152"/>
      <c r="M25" s="147"/>
      <c r="N25" s="147"/>
      <c r="O25" s="147"/>
    </row>
    <row r="26" spans="1:15">
      <c r="A26" s="147" t="s">
        <v>1077</v>
      </c>
      <c r="B26" s="147" t="s">
        <v>1074</v>
      </c>
      <c r="C26" s="148" t="s">
        <v>1031</v>
      </c>
      <c r="D26" s="148">
        <v>14</v>
      </c>
      <c r="E26" s="500">
        <v>0.11</v>
      </c>
      <c r="F26" s="149" t="s">
        <v>1078</v>
      </c>
      <c r="G26" s="441">
        <v>-145.485725</v>
      </c>
      <c r="H26" s="441">
        <v>413.28528000000006</v>
      </c>
      <c r="I26" s="441">
        <f t="shared" si="0"/>
        <v>-558.77100500000006</v>
      </c>
      <c r="J26" s="147"/>
      <c r="K26" s="151"/>
      <c r="L26" s="152"/>
      <c r="M26" s="147"/>
      <c r="N26" s="147"/>
      <c r="O26" s="147"/>
    </row>
    <row r="27" spans="1:15">
      <c r="A27" s="147" t="s">
        <v>1079</v>
      </c>
      <c r="B27" s="147" t="s">
        <v>1080</v>
      </c>
      <c r="C27" s="148" t="s">
        <v>1081</v>
      </c>
      <c r="D27" s="148">
        <v>18</v>
      </c>
      <c r="E27" s="500">
        <v>4</v>
      </c>
      <c r="F27" s="149" t="s">
        <v>1082</v>
      </c>
      <c r="G27" s="441">
        <v>-13763.896842999977</v>
      </c>
      <c r="H27" s="441">
        <v>6832.2255929999992</v>
      </c>
      <c r="I27" s="441">
        <f t="shared" si="0"/>
        <v>-20596.122435999976</v>
      </c>
      <c r="J27" s="147"/>
      <c r="K27" s="151"/>
      <c r="L27" s="152"/>
      <c r="M27" s="147"/>
      <c r="N27" s="147"/>
      <c r="O27" s="147"/>
    </row>
    <row r="28" spans="1:15">
      <c r="A28" s="147" t="s">
        <v>1083</v>
      </c>
      <c r="B28" s="147" t="s">
        <v>1084</v>
      </c>
      <c r="C28" s="155" t="s">
        <v>632</v>
      </c>
      <c r="D28" s="148">
        <v>18</v>
      </c>
      <c r="E28" s="502">
        <v>11.290000000000001</v>
      </c>
      <c r="F28" s="149" t="s">
        <v>1085</v>
      </c>
      <c r="G28" s="441">
        <v>306106.32392300043</v>
      </c>
      <c r="H28" s="441">
        <v>81694.524638999996</v>
      </c>
      <c r="I28" s="441">
        <f t="shared" si="0"/>
        <v>224411.79928400042</v>
      </c>
      <c r="J28" s="156" t="s">
        <v>1086</v>
      </c>
      <c r="K28" s="151"/>
      <c r="L28" s="152"/>
      <c r="M28" s="147"/>
      <c r="N28" s="147"/>
      <c r="O28" s="147"/>
    </row>
    <row r="29" spans="1:15">
      <c r="A29" s="147" t="s">
        <v>1087</v>
      </c>
      <c r="B29" s="147" t="s">
        <v>1088</v>
      </c>
      <c r="C29" s="148" t="s">
        <v>1089</v>
      </c>
      <c r="D29" s="148">
        <v>22</v>
      </c>
      <c r="E29" s="500">
        <v>0.21</v>
      </c>
      <c r="F29" s="149" t="s">
        <v>1090</v>
      </c>
      <c r="G29" s="441">
        <v>56881.462087401975</v>
      </c>
      <c r="H29" s="441">
        <v>12875.79496403164</v>
      </c>
      <c r="I29" s="441">
        <f t="shared" si="0"/>
        <v>44005.667123370338</v>
      </c>
      <c r="J29" s="147" t="s">
        <v>1091</v>
      </c>
      <c r="K29" s="151"/>
      <c r="L29" s="152"/>
      <c r="M29" s="147"/>
      <c r="N29" s="147"/>
      <c r="O29" s="147"/>
    </row>
    <row r="30" spans="1:15">
      <c r="A30" s="147" t="s">
        <v>1092</v>
      </c>
      <c r="B30" s="147" t="s">
        <v>1088</v>
      </c>
      <c r="C30" s="148" t="s">
        <v>1093</v>
      </c>
      <c r="D30" s="148">
        <v>22</v>
      </c>
      <c r="E30" s="500">
        <v>0.16</v>
      </c>
      <c r="F30" s="149"/>
      <c r="G30" s="441">
        <v>0</v>
      </c>
      <c r="H30" s="441">
        <v>0</v>
      </c>
      <c r="I30" s="441">
        <f t="shared" si="0"/>
        <v>0</v>
      </c>
      <c r="J30" s="150"/>
      <c r="K30" s="147"/>
      <c r="L30" s="152"/>
      <c r="M30" s="147"/>
      <c r="N30" s="147"/>
      <c r="O30" s="147"/>
    </row>
    <row r="31" spans="1:15">
      <c r="A31" s="147" t="s">
        <v>1094</v>
      </c>
      <c r="B31" s="147" t="s">
        <v>1095</v>
      </c>
      <c r="C31" s="155" t="s">
        <v>1096</v>
      </c>
      <c r="D31" s="148">
        <v>26</v>
      </c>
      <c r="E31" s="500">
        <v>5.5</v>
      </c>
      <c r="F31" s="154">
        <v>183</v>
      </c>
      <c r="G31" s="441">
        <v>-39745.847359500018</v>
      </c>
      <c r="H31" s="441">
        <v>9914.9045490000008</v>
      </c>
      <c r="I31" s="441">
        <f t="shared" si="0"/>
        <v>-49660.751908500017</v>
      </c>
      <c r="J31" s="150"/>
      <c r="K31" s="147"/>
      <c r="L31" s="152"/>
      <c r="M31" s="147"/>
      <c r="N31" s="147"/>
      <c r="O31" s="147"/>
    </row>
    <row r="32" spans="1:15">
      <c r="A32" s="147"/>
      <c r="B32" s="147"/>
      <c r="C32" s="157"/>
      <c r="D32" s="147"/>
      <c r="E32" s="147"/>
      <c r="F32" s="154"/>
      <c r="G32" s="147"/>
      <c r="H32" s="147"/>
      <c r="I32" s="147"/>
      <c r="J32" s="147"/>
      <c r="K32" s="148"/>
      <c r="L32" s="147"/>
      <c r="M32" s="147"/>
      <c r="N32" s="147"/>
      <c r="O32" s="147"/>
    </row>
    <row r="33" spans="1:15">
      <c r="A33" s="147" t="s">
        <v>1410</v>
      </c>
      <c r="B33" s="147"/>
      <c r="C33" s="157"/>
      <c r="D33" s="147"/>
      <c r="E33" s="158">
        <f>SUM(E4:E32)</f>
        <v>71.689999999999984</v>
      </c>
      <c r="F33" s="147"/>
      <c r="G33" s="153">
        <f>+SUM(G4:G31)</f>
        <v>687044.36811969406</v>
      </c>
      <c r="H33" s="153">
        <f>SUM(H4:H32)</f>
        <v>284267.32755082875</v>
      </c>
      <c r="I33" s="153">
        <f>SUM(I4:I32)</f>
        <v>402777.04056886543</v>
      </c>
      <c r="J33" s="147"/>
      <c r="K33" s="148"/>
      <c r="L33" s="159"/>
      <c r="M33" s="147"/>
      <c r="N33" s="147"/>
      <c r="O33" s="147"/>
    </row>
    <row r="34" spans="1:15">
      <c r="A34" s="147"/>
      <c r="B34" s="147"/>
      <c r="C34" s="147"/>
      <c r="D34" s="147"/>
      <c r="E34" s="147"/>
      <c r="F34" s="147"/>
      <c r="G34" s="147"/>
      <c r="H34" s="147"/>
      <c r="I34" s="147"/>
      <c r="J34" s="147"/>
      <c r="K34" s="148"/>
      <c r="L34" s="147"/>
      <c r="M34" s="147"/>
      <c r="N34" s="147"/>
      <c r="O34" s="147"/>
    </row>
    <row r="35" spans="1:15">
      <c r="A35" s="160" t="s">
        <v>1097</v>
      </c>
      <c r="B35" s="147"/>
      <c r="C35" s="147"/>
      <c r="D35" s="147"/>
      <c r="E35" s="147"/>
      <c r="F35" s="147"/>
      <c r="G35" s="147"/>
      <c r="H35" s="147"/>
      <c r="I35" s="147"/>
      <c r="J35" s="147"/>
      <c r="K35" s="148"/>
      <c r="L35" s="147"/>
      <c r="M35" s="147"/>
      <c r="N35" s="147"/>
      <c r="O35" s="147"/>
    </row>
    <row r="36" spans="1:15">
      <c r="A36" s="147" t="s">
        <v>1098</v>
      </c>
      <c r="B36" s="147" t="s">
        <v>1099</v>
      </c>
      <c r="C36" s="148" t="s">
        <v>1100</v>
      </c>
      <c r="D36" s="148">
        <v>18</v>
      </c>
      <c r="E36" s="147">
        <v>8.5</v>
      </c>
      <c r="F36" s="147" t="s">
        <v>1101</v>
      </c>
      <c r="G36" s="147"/>
      <c r="H36" s="147"/>
      <c r="I36" s="147"/>
      <c r="J36" s="147"/>
      <c r="K36" s="148"/>
      <c r="L36" s="147"/>
      <c r="M36" s="147"/>
      <c r="N36" s="147"/>
      <c r="O36" s="147"/>
    </row>
    <row r="37" spans="1:15">
      <c r="A37" s="147" t="s">
        <v>1102</v>
      </c>
      <c r="B37" s="147" t="s">
        <v>1103</v>
      </c>
      <c r="C37" s="148" t="s">
        <v>1100</v>
      </c>
      <c r="D37" s="148">
        <v>18</v>
      </c>
      <c r="E37" s="147">
        <v>1.91</v>
      </c>
      <c r="F37" s="147" t="s">
        <v>1101</v>
      </c>
      <c r="G37" s="147"/>
      <c r="H37" s="147"/>
      <c r="I37" s="147"/>
      <c r="J37" s="147"/>
      <c r="K37" s="148"/>
      <c r="L37" s="147"/>
      <c r="M37" s="147"/>
      <c r="N37" s="147"/>
      <c r="O37" s="147"/>
    </row>
    <row r="38" spans="1:15">
      <c r="A38" s="147" t="s">
        <v>1102</v>
      </c>
      <c r="B38" s="147" t="s">
        <v>1103</v>
      </c>
      <c r="C38" s="148" t="s">
        <v>1100</v>
      </c>
      <c r="D38" s="148"/>
      <c r="E38" s="147">
        <v>0.88</v>
      </c>
      <c r="F38" s="147" t="s">
        <v>1101</v>
      </c>
      <c r="G38" s="147"/>
      <c r="H38" s="147"/>
      <c r="I38" s="147"/>
      <c r="J38" s="147"/>
      <c r="K38" s="148"/>
      <c r="L38" s="147"/>
      <c r="M38" s="147"/>
      <c r="N38" s="147"/>
      <c r="O38" s="147"/>
    </row>
    <row r="39" spans="1:15">
      <c r="A39" s="147"/>
      <c r="B39" s="147"/>
      <c r="C39" s="147"/>
      <c r="D39" s="147"/>
      <c r="E39" s="147">
        <f>SUM(E36:E38)</f>
        <v>11.290000000000001</v>
      </c>
      <c r="F39" s="151"/>
      <c r="G39" s="147"/>
      <c r="H39" s="147"/>
      <c r="I39" s="147"/>
      <c r="J39" s="147"/>
      <c r="K39" s="147"/>
      <c r="L39" s="147"/>
      <c r="M39" s="147"/>
      <c r="N39" s="147"/>
      <c r="O39" s="147"/>
    </row>
    <row r="40" spans="1:15">
      <c r="A40" s="160" t="s">
        <v>1104</v>
      </c>
      <c r="B40" s="147"/>
      <c r="C40" s="147"/>
      <c r="D40" s="147"/>
      <c r="E40" s="147"/>
      <c r="F40" s="151"/>
      <c r="G40" s="147"/>
      <c r="H40" s="147"/>
      <c r="I40" s="147"/>
      <c r="J40" s="147"/>
      <c r="K40" s="147"/>
      <c r="L40" s="147"/>
      <c r="M40" s="147"/>
      <c r="N40" s="147"/>
      <c r="O40" s="147"/>
    </row>
    <row r="41" spans="1:15">
      <c r="A41" s="147" t="s">
        <v>1065</v>
      </c>
      <c r="B41" s="147" t="s">
        <v>1105</v>
      </c>
      <c r="C41" s="147"/>
      <c r="D41" s="147"/>
      <c r="E41" s="147">
        <v>0.04</v>
      </c>
      <c r="F41" s="151" t="s">
        <v>1106</v>
      </c>
      <c r="G41" s="147"/>
      <c r="H41" s="147"/>
      <c r="I41" s="147"/>
      <c r="J41" s="147"/>
      <c r="K41" s="147"/>
      <c r="L41" s="147"/>
      <c r="M41" s="147"/>
      <c r="N41" s="147"/>
      <c r="O41" s="147"/>
    </row>
    <row r="42" spans="1:15">
      <c r="A42" s="147"/>
      <c r="B42" s="147"/>
      <c r="C42" s="147"/>
      <c r="D42" s="147"/>
      <c r="E42" s="147"/>
      <c r="F42" s="147"/>
      <c r="G42" s="147"/>
      <c r="H42" s="147"/>
      <c r="I42" s="147"/>
      <c r="J42" s="147"/>
      <c r="K42" s="147"/>
      <c r="L42" s="147"/>
      <c r="M42" s="147"/>
      <c r="N42" s="147"/>
      <c r="O42" s="147"/>
    </row>
    <row r="43" spans="1:15">
      <c r="A43" s="147"/>
      <c r="B43" s="147"/>
      <c r="C43" s="147"/>
      <c r="D43" s="147"/>
      <c r="E43" s="147"/>
      <c r="F43" s="147"/>
      <c r="G43" s="147"/>
      <c r="H43" s="147"/>
      <c r="I43" s="147"/>
      <c r="J43" s="147"/>
      <c r="K43" s="147"/>
      <c r="L43" s="147"/>
      <c r="M43" s="147"/>
      <c r="N43" s="147"/>
      <c r="O43" s="147"/>
    </row>
    <row r="44" spans="1:15">
      <c r="A44" s="160" t="s">
        <v>1107</v>
      </c>
      <c r="B44" s="147"/>
      <c r="C44" s="147"/>
      <c r="D44" s="147"/>
      <c r="E44" s="147"/>
      <c r="F44" s="147"/>
      <c r="G44" s="147"/>
      <c r="H44" s="147"/>
      <c r="I44" s="147"/>
      <c r="J44" s="147"/>
      <c r="K44" s="147"/>
      <c r="L44" s="147"/>
      <c r="M44" s="147"/>
      <c r="N44" s="147"/>
      <c r="O44" s="147"/>
    </row>
    <row r="45" spans="1:15">
      <c r="A45" s="147" t="s">
        <v>1108</v>
      </c>
      <c r="B45" s="147" t="s">
        <v>1007</v>
      </c>
      <c r="C45" s="148" t="s">
        <v>1109</v>
      </c>
      <c r="D45" s="148">
        <v>1</v>
      </c>
      <c r="E45" s="147">
        <v>0.33</v>
      </c>
      <c r="F45" s="149"/>
      <c r="G45" s="150"/>
      <c r="H45" s="150"/>
      <c r="I45" s="150"/>
      <c r="J45" s="147"/>
      <c r="K45" s="151"/>
      <c r="L45" s="147"/>
      <c r="M45" s="147"/>
      <c r="N45" s="147"/>
      <c r="O45" s="147"/>
    </row>
    <row r="46" spans="1:15">
      <c r="A46" s="147" t="s">
        <v>1110</v>
      </c>
      <c r="B46" s="147" t="s">
        <v>1111</v>
      </c>
      <c r="C46" s="148" t="s">
        <v>1112</v>
      </c>
      <c r="D46" s="148">
        <v>1</v>
      </c>
      <c r="E46" s="147">
        <v>0.87</v>
      </c>
      <c r="F46" s="149"/>
      <c r="G46" s="150"/>
      <c r="H46" s="150"/>
      <c r="I46" s="150"/>
      <c r="J46" s="147"/>
      <c r="K46" s="151"/>
      <c r="L46" s="147"/>
      <c r="M46" s="147"/>
      <c r="N46" s="147"/>
      <c r="O46" s="147"/>
    </row>
    <row r="47" spans="1:15">
      <c r="A47" s="147" t="s">
        <v>1113</v>
      </c>
      <c r="B47" s="147" t="s">
        <v>1114</v>
      </c>
      <c r="C47" s="148" t="s">
        <v>1115</v>
      </c>
      <c r="D47" s="148">
        <v>1</v>
      </c>
      <c r="E47" s="147">
        <v>0.78</v>
      </c>
      <c r="F47" s="149"/>
      <c r="G47" s="150"/>
      <c r="H47" s="150"/>
      <c r="I47" s="150"/>
      <c r="J47" s="147"/>
      <c r="K47" s="151"/>
      <c r="L47" s="147"/>
      <c r="M47" s="147"/>
      <c r="N47" s="147"/>
      <c r="O47" s="147"/>
    </row>
    <row r="48" spans="1:15">
      <c r="A48" s="147" t="s">
        <v>1116</v>
      </c>
      <c r="B48" s="147" t="s">
        <v>1117</v>
      </c>
      <c r="C48" s="148" t="s">
        <v>1118</v>
      </c>
      <c r="D48" s="148">
        <v>1</v>
      </c>
      <c r="E48" s="147">
        <v>0.22</v>
      </c>
      <c r="F48" s="149"/>
      <c r="G48" s="150"/>
      <c r="H48" s="150"/>
      <c r="I48" s="150"/>
      <c r="J48" s="147"/>
      <c r="K48" s="151"/>
      <c r="L48" s="147"/>
      <c r="M48" s="147"/>
      <c r="N48" s="147"/>
      <c r="O48" s="147"/>
    </row>
    <row r="49" spans="1:15">
      <c r="A49" s="147" t="s">
        <v>1119</v>
      </c>
      <c r="B49" s="147" t="s">
        <v>1020</v>
      </c>
      <c r="C49" s="148" t="s">
        <v>1120</v>
      </c>
      <c r="D49" s="148">
        <v>1</v>
      </c>
      <c r="E49" s="147">
        <v>0.78</v>
      </c>
      <c r="F49" s="149"/>
      <c r="G49" s="150"/>
      <c r="H49" s="150"/>
      <c r="I49" s="150"/>
      <c r="J49" s="147"/>
      <c r="K49" s="151"/>
      <c r="L49" s="147"/>
      <c r="M49" s="147"/>
      <c r="N49" s="147"/>
      <c r="O49" s="147"/>
    </row>
    <row r="50" spans="1:15">
      <c r="A50" s="147" t="s">
        <v>1121</v>
      </c>
      <c r="B50" s="147" t="s">
        <v>1122</v>
      </c>
      <c r="C50" s="148" t="s">
        <v>1123</v>
      </c>
      <c r="D50" s="148">
        <v>2</v>
      </c>
      <c r="E50" s="147">
        <v>0.02</v>
      </c>
      <c r="F50" s="149"/>
      <c r="G50" s="150"/>
      <c r="H50" s="150"/>
      <c r="I50" s="150"/>
      <c r="J50" s="147"/>
      <c r="K50" s="151"/>
      <c r="L50" s="150"/>
      <c r="M50" s="147"/>
      <c r="N50" s="147"/>
      <c r="O50" s="147"/>
    </row>
    <row r="51" spans="1:15">
      <c r="A51" s="147" t="s">
        <v>1124</v>
      </c>
      <c r="B51" s="147" t="s">
        <v>1125</v>
      </c>
      <c r="C51" s="148" t="s">
        <v>1126</v>
      </c>
      <c r="D51" s="148">
        <v>1</v>
      </c>
      <c r="E51" s="147">
        <v>0.92</v>
      </c>
      <c r="F51" s="149"/>
      <c r="G51" s="150"/>
      <c r="H51" s="150"/>
      <c r="I51" s="150"/>
      <c r="J51" s="147"/>
      <c r="K51" s="147"/>
      <c r="L51" s="147"/>
      <c r="M51" s="147"/>
      <c r="N51" s="147"/>
    </row>
    <row r="52" spans="1:15">
      <c r="A52" s="147" t="s">
        <v>1113</v>
      </c>
      <c r="B52" s="147" t="s">
        <v>1114</v>
      </c>
      <c r="C52" s="148" t="s">
        <v>1115</v>
      </c>
      <c r="D52" s="148">
        <v>1</v>
      </c>
      <c r="E52" s="147">
        <v>0.13</v>
      </c>
      <c r="F52" s="147"/>
      <c r="G52" s="147"/>
      <c r="H52" s="150"/>
      <c r="I52" s="150"/>
      <c r="J52" s="147"/>
      <c r="K52" s="147"/>
      <c r="L52" s="147"/>
      <c r="M52" s="147"/>
      <c r="N52" s="147"/>
    </row>
    <row r="53" spans="1:15">
      <c r="A53" s="147" t="s">
        <v>1127</v>
      </c>
      <c r="B53" s="147" t="s">
        <v>1125</v>
      </c>
      <c r="C53" s="148" t="s">
        <v>1126</v>
      </c>
      <c r="D53" s="148">
        <v>1</v>
      </c>
      <c r="E53" s="147">
        <v>0.03</v>
      </c>
      <c r="F53" s="149"/>
      <c r="G53" s="150"/>
      <c r="H53" s="150"/>
      <c r="I53" s="150"/>
      <c r="J53" s="147"/>
      <c r="K53" s="147"/>
      <c r="L53" s="147"/>
      <c r="M53" s="147"/>
      <c r="N53" s="147"/>
    </row>
    <row r="54" spans="1:15">
      <c r="A54" s="147" t="s">
        <v>1128</v>
      </c>
      <c r="B54" s="147" t="s">
        <v>1129</v>
      </c>
      <c r="C54" s="161" t="s">
        <v>1130</v>
      </c>
      <c r="D54" s="148">
        <v>22</v>
      </c>
      <c r="E54" s="147">
        <v>0.13</v>
      </c>
      <c r="F54" s="149"/>
      <c r="G54" s="147"/>
      <c r="H54" s="147"/>
      <c r="I54" s="147"/>
      <c r="J54" s="147"/>
      <c r="K54" s="147"/>
      <c r="L54" s="147"/>
      <c r="M54" s="147"/>
      <c r="N54" s="147"/>
    </row>
    <row r="55" spans="1:15">
      <c r="A55" s="147" t="s">
        <v>1131</v>
      </c>
      <c r="B55" s="147" t="s">
        <v>1132</v>
      </c>
      <c r="C55" s="148" t="s">
        <v>1133</v>
      </c>
      <c r="D55" s="148">
        <v>18</v>
      </c>
      <c r="E55" s="147">
        <v>0.2</v>
      </c>
      <c r="F55" s="147"/>
      <c r="G55" s="147"/>
      <c r="H55" s="147"/>
      <c r="I55" s="147"/>
      <c r="J55" s="147"/>
      <c r="K55" s="147"/>
      <c r="L55" s="147"/>
      <c r="M55" s="147"/>
      <c r="N55" s="147"/>
    </row>
    <row r="56" spans="1:15">
      <c r="A56" s="147" t="s">
        <v>1134</v>
      </c>
      <c r="B56" s="147" t="s">
        <v>1135</v>
      </c>
      <c r="C56" s="148" t="s">
        <v>1133</v>
      </c>
      <c r="D56" s="148">
        <v>18</v>
      </c>
      <c r="E56" s="147">
        <v>0.15</v>
      </c>
      <c r="F56" s="147"/>
      <c r="G56" s="147"/>
      <c r="H56" s="147"/>
      <c r="I56" s="147"/>
      <c r="J56" s="147"/>
      <c r="K56" s="147"/>
      <c r="L56" s="147"/>
      <c r="M56" s="147"/>
      <c r="N56" s="147"/>
    </row>
    <row r="57" spans="1:15">
      <c r="A57" s="147" t="s">
        <v>1136</v>
      </c>
      <c r="B57" s="147" t="s">
        <v>1103</v>
      </c>
      <c r="C57" s="148" t="s">
        <v>1133</v>
      </c>
      <c r="D57" s="148">
        <v>18</v>
      </c>
      <c r="E57" s="147">
        <v>0.1</v>
      </c>
      <c r="F57" s="147"/>
      <c r="G57" s="147"/>
      <c r="H57" s="147"/>
      <c r="I57" s="147"/>
      <c r="J57" s="147"/>
      <c r="K57" s="147"/>
      <c r="L57" s="147"/>
      <c r="M57" s="147"/>
      <c r="N57" s="147"/>
    </row>
    <row r="58" spans="1:15">
      <c r="A58" s="147"/>
      <c r="B58" s="147"/>
      <c r="C58" s="147"/>
      <c r="D58" s="148"/>
      <c r="E58" s="147">
        <f>SUM(E45:E57)</f>
        <v>4.660000000000001</v>
      </c>
      <c r="F58" s="147"/>
      <c r="G58" s="147"/>
      <c r="H58" s="147"/>
      <c r="I58" s="147"/>
      <c r="J58" s="147"/>
      <c r="K58" s="147"/>
      <c r="L58" s="147"/>
      <c r="M58" s="147"/>
      <c r="N58" s="147"/>
    </row>
    <row r="59" spans="1:15">
      <c r="A59" s="160" t="s">
        <v>1137</v>
      </c>
      <c r="B59" s="147"/>
      <c r="C59" s="147"/>
      <c r="D59" s="148"/>
      <c r="E59" s="147"/>
      <c r="F59" s="147"/>
      <c r="G59" s="147"/>
      <c r="H59" s="147"/>
      <c r="I59" s="147"/>
      <c r="J59" s="147"/>
      <c r="K59" s="147"/>
      <c r="L59" s="147"/>
      <c r="M59" s="147"/>
      <c r="N59" s="147"/>
    </row>
    <row r="60" spans="1:15">
      <c r="A60" s="147" t="s">
        <v>1138</v>
      </c>
      <c r="B60" s="147" t="s">
        <v>1139</v>
      </c>
      <c r="C60" s="148" t="s">
        <v>1140</v>
      </c>
      <c r="D60" s="148">
        <v>4</v>
      </c>
      <c r="E60" s="147">
        <v>2.91</v>
      </c>
      <c r="F60" s="147"/>
      <c r="G60" s="147"/>
      <c r="H60" s="147"/>
      <c r="I60" s="147"/>
      <c r="J60" s="147"/>
      <c r="K60" s="147"/>
      <c r="L60" s="147"/>
      <c r="M60" s="147"/>
      <c r="N60" s="147"/>
    </row>
    <row r="61" spans="1:15">
      <c r="A61" s="147" t="s">
        <v>1141</v>
      </c>
      <c r="B61" s="147" t="s">
        <v>1142</v>
      </c>
      <c r="C61" s="148" t="s">
        <v>1143</v>
      </c>
      <c r="D61" s="148">
        <v>4</v>
      </c>
      <c r="E61" s="147">
        <v>2.31</v>
      </c>
      <c r="F61" s="147"/>
      <c r="G61" s="147"/>
      <c r="H61" s="147"/>
      <c r="I61" s="147"/>
      <c r="J61" s="147"/>
      <c r="K61" s="147"/>
      <c r="L61" s="147"/>
      <c r="M61" s="147"/>
      <c r="N61" s="147"/>
    </row>
    <row r="62" spans="1:15">
      <c r="A62" s="147" t="s">
        <v>1144</v>
      </c>
      <c r="B62" s="147" t="s">
        <v>1145</v>
      </c>
      <c r="C62" s="148" t="s">
        <v>1143</v>
      </c>
      <c r="D62" s="148">
        <v>4</v>
      </c>
      <c r="E62" s="147">
        <v>0.49</v>
      </c>
      <c r="F62" s="147"/>
      <c r="G62" s="147"/>
      <c r="H62" s="147"/>
      <c r="I62" s="147"/>
      <c r="J62" s="147"/>
      <c r="K62" s="147"/>
      <c r="L62" s="147"/>
      <c r="M62" s="147"/>
      <c r="N62" s="147"/>
    </row>
    <row r="63" spans="1:15">
      <c r="A63" s="147" t="s">
        <v>1146</v>
      </c>
      <c r="B63" s="147" t="s">
        <v>1142</v>
      </c>
      <c r="C63" s="148" t="s">
        <v>1147</v>
      </c>
      <c r="D63" s="148">
        <v>4</v>
      </c>
      <c r="E63" s="147">
        <v>3.47</v>
      </c>
      <c r="F63" s="147"/>
      <c r="G63" s="147"/>
      <c r="H63" s="147"/>
      <c r="I63" s="147"/>
      <c r="J63" s="147"/>
      <c r="K63" s="147"/>
      <c r="L63" s="147"/>
      <c r="M63" s="147"/>
      <c r="N63" s="147"/>
    </row>
    <row r="64" spans="1:15">
      <c r="A64" s="147"/>
      <c r="B64" s="147"/>
      <c r="C64" s="147"/>
      <c r="D64" s="148"/>
      <c r="E64" s="154">
        <f>SUM(E60:E63)</f>
        <v>9.1800000000000015</v>
      </c>
      <c r="F64" s="148"/>
      <c r="G64" s="147"/>
      <c r="H64" s="147"/>
      <c r="I64" s="147"/>
      <c r="J64" s="147"/>
      <c r="K64" s="147"/>
      <c r="L64" s="147"/>
      <c r="M64" s="147"/>
      <c r="N64" s="147"/>
    </row>
    <row r="65" spans="1:14">
      <c r="A65" s="147"/>
      <c r="B65" s="147"/>
      <c r="C65" s="147"/>
      <c r="D65" s="148"/>
      <c r="E65" s="148"/>
      <c r="F65" s="148"/>
      <c r="G65" s="147"/>
      <c r="H65" s="147"/>
      <c r="I65" s="147"/>
      <c r="J65" s="147"/>
      <c r="K65" s="147"/>
      <c r="L65" s="159"/>
      <c r="M65" s="147"/>
      <c r="N65" s="147"/>
    </row>
    <row r="66" spans="1:14">
      <c r="A66" s="147" t="s">
        <v>1148</v>
      </c>
      <c r="B66" s="147"/>
      <c r="C66" s="147"/>
      <c r="D66" s="148"/>
      <c r="E66" s="148"/>
      <c r="F66" s="148"/>
      <c r="H66" s="147"/>
      <c r="I66" s="147"/>
      <c r="J66" s="147"/>
      <c r="K66" s="147"/>
      <c r="L66" s="147"/>
      <c r="M66" s="147"/>
      <c r="N66" s="147"/>
    </row>
    <row r="67" spans="1:14">
      <c r="A67" s="147" t="s">
        <v>1149</v>
      </c>
      <c r="B67" s="147"/>
      <c r="C67" s="147"/>
      <c r="D67" s="148"/>
      <c r="E67" s="162">
        <f>E33</f>
        <v>71.689999999999984</v>
      </c>
      <c r="F67" s="148"/>
      <c r="G67" s="147"/>
      <c r="H67" s="147"/>
      <c r="I67" s="147"/>
      <c r="J67" s="147"/>
      <c r="K67" s="147"/>
      <c r="L67" s="147"/>
      <c r="M67" s="147"/>
    </row>
    <row r="68" spans="1:14">
      <c r="A68" s="147" t="s">
        <v>1150</v>
      </c>
      <c r="B68" s="147"/>
      <c r="C68" s="147"/>
      <c r="D68" s="148"/>
      <c r="E68" s="147">
        <f>E58</f>
        <v>4.660000000000001</v>
      </c>
      <c r="F68" s="147"/>
      <c r="G68" s="147"/>
      <c r="H68" s="147"/>
      <c r="I68" s="147"/>
      <c r="J68" s="147"/>
      <c r="K68" s="147"/>
      <c r="L68" s="147"/>
      <c r="M68" s="147"/>
    </row>
    <row r="69" spans="1:14">
      <c r="A69" s="147" t="s">
        <v>1151</v>
      </c>
      <c r="B69" s="147"/>
      <c r="C69" s="147"/>
      <c r="D69" s="148"/>
      <c r="E69" s="147">
        <f>E64</f>
        <v>9.1800000000000015</v>
      </c>
      <c r="F69" s="147"/>
      <c r="G69" s="159"/>
      <c r="H69" s="147"/>
      <c r="I69" s="147"/>
      <c r="J69" s="147"/>
      <c r="K69" s="147"/>
      <c r="L69" s="147"/>
      <c r="M69" s="147"/>
    </row>
    <row r="70" spans="1:14">
      <c r="A70" s="160" t="s">
        <v>1148</v>
      </c>
      <c r="B70" s="147"/>
      <c r="C70" s="147"/>
      <c r="D70" s="148"/>
      <c r="E70" s="159">
        <f>SUM(E67:E69)</f>
        <v>85.529999999999987</v>
      </c>
      <c r="F70" s="159"/>
      <c r="G70" s="163"/>
      <c r="H70" s="147"/>
      <c r="I70" s="147"/>
      <c r="J70" s="147"/>
      <c r="K70" s="147"/>
      <c r="L70" s="147"/>
      <c r="M70" s="147"/>
    </row>
    <row r="71" spans="1:14">
      <c r="A71" s="147"/>
      <c r="B71" s="147"/>
      <c r="C71" s="147"/>
      <c r="D71" s="148"/>
      <c r="E71" s="159"/>
      <c r="F71" s="147"/>
      <c r="G71" s="147"/>
      <c r="H71" s="147"/>
      <c r="I71" s="147"/>
      <c r="J71" s="147"/>
      <c r="K71" s="147"/>
      <c r="L71" s="147"/>
      <c r="M71" s="147"/>
    </row>
    <row r="72" spans="1:14" ht="15.75" thickBot="1">
      <c r="A72" s="147"/>
      <c r="B72" s="147"/>
      <c r="C72" s="147"/>
      <c r="D72" s="148"/>
      <c r="E72" s="148"/>
      <c r="F72" s="148"/>
      <c r="G72" s="164"/>
      <c r="H72" s="147"/>
      <c r="I72" s="147"/>
      <c r="J72" s="147"/>
      <c r="K72" s="147"/>
      <c r="L72" s="147"/>
      <c r="M72" s="147"/>
    </row>
    <row r="73" spans="1:14">
      <c r="A73" s="165" t="s">
        <v>1152</v>
      </c>
      <c r="B73" s="166"/>
      <c r="C73" s="167" t="str">
        <f>C86</f>
        <v>2024 O&amp;M</v>
      </c>
      <c r="D73" s="167" t="s">
        <v>1153</v>
      </c>
      <c r="E73" s="166" t="s">
        <v>1154</v>
      </c>
      <c r="F73" s="166" t="s">
        <v>1155</v>
      </c>
      <c r="G73" s="166" t="s">
        <v>1156</v>
      </c>
      <c r="H73" s="168"/>
      <c r="I73" s="147"/>
      <c r="J73" s="147"/>
      <c r="K73" s="147"/>
      <c r="L73" s="147"/>
      <c r="M73" s="147"/>
    </row>
    <row r="74" spans="1:14">
      <c r="A74" s="169" t="s">
        <v>936</v>
      </c>
      <c r="B74" s="147"/>
      <c r="C74" s="296">
        <f>C87</f>
        <v>146630.35999999999</v>
      </c>
      <c r="D74" s="444">
        <v>3197</v>
      </c>
      <c r="E74" s="499">
        <f>E70-E60</f>
        <v>82.61999999999999</v>
      </c>
      <c r="F74" s="170">
        <f>E74/D74</f>
        <v>2.5842977791679697E-2</v>
      </c>
      <c r="G74" s="153">
        <f>C74*F74</f>
        <v>3789.3651370659986</v>
      </c>
      <c r="H74" s="171"/>
      <c r="I74" s="147"/>
      <c r="J74" s="443"/>
      <c r="K74" s="147"/>
      <c r="L74" s="147"/>
      <c r="M74" s="147"/>
    </row>
    <row r="75" spans="1:14">
      <c r="A75" s="169" t="s">
        <v>937</v>
      </c>
      <c r="B75" s="147"/>
      <c r="C75" s="296">
        <f>C88</f>
        <v>953587.50000000023</v>
      </c>
      <c r="D75" s="444">
        <v>3197</v>
      </c>
      <c r="E75" s="499">
        <f>E70-E60</f>
        <v>82.61999999999999</v>
      </c>
      <c r="F75" s="170">
        <f>E75/D75</f>
        <v>2.5842977791679697E-2</v>
      </c>
      <c r="G75" s="153">
        <f>C75*F75</f>
        <v>24643.540584923368</v>
      </c>
      <c r="H75" s="171"/>
      <c r="I75" s="147"/>
      <c r="J75" s="443"/>
      <c r="K75" s="147"/>
      <c r="L75" s="147"/>
      <c r="M75" s="147"/>
    </row>
    <row r="76" spans="1:14" ht="15.75" thickBot="1">
      <c r="A76" s="169"/>
      <c r="B76" s="147"/>
      <c r="C76" s="148"/>
      <c r="D76" s="148"/>
      <c r="E76" s="148"/>
      <c r="F76" s="147"/>
      <c r="G76" s="186">
        <f>SUM(G74:G75)</f>
        <v>28432.905721989366</v>
      </c>
      <c r="H76" s="171"/>
      <c r="I76" s="147"/>
      <c r="J76" s="147"/>
      <c r="K76" s="147"/>
      <c r="L76" s="147"/>
      <c r="M76" s="147"/>
    </row>
    <row r="77" spans="1:14" ht="16.5" thickTop="1" thickBot="1">
      <c r="A77" s="172"/>
      <c r="B77" s="173"/>
      <c r="C77" s="174"/>
      <c r="D77" s="174"/>
      <c r="E77" s="174"/>
      <c r="F77" s="173"/>
      <c r="G77" s="173"/>
      <c r="H77" s="175"/>
      <c r="I77" s="147"/>
      <c r="J77" s="147"/>
      <c r="K77" s="147"/>
      <c r="L77" s="147"/>
      <c r="M77" s="147"/>
    </row>
    <row r="78" spans="1:14" ht="15.75" thickBot="1">
      <c r="A78" s="147"/>
      <c r="B78" s="147"/>
      <c r="C78" s="148"/>
      <c r="D78" s="148"/>
      <c r="E78" s="148"/>
      <c r="F78" s="147"/>
      <c r="G78" s="147"/>
      <c r="H78" s="147"/>
      <c r="I78" s="147"/>
      <c r="J78" s="147"/>
      <c r="K78" s="147"/>
      <c r="L78" s="147"/>
      <c r="M78" s="147"/>
    </row>
    <row r="79" spans="1:14">
      <c r="A79" s="165" t="s">
        <v>1157</v>
      </c>
      <c r="B79" s="166"/>
      <c r="C79" s="167" t="str">
        <f>C86</f>
        <v>2024 O&amp;M</v>
      </c>
      <c r="D79" s="167" t="s">
        <v>1153</v>
      </c>
      <c r="E79" s="166" t="s">
        <v>1154</v>
      </c>
      <c r="F79" s="166" t="s">
        <v>1155</v>
      </c>
      <c r="G79" s="166" t="s">
        <v>1156</v>
      </c>
      <c r="H79" s="168"/>
      <c r="I79" s="147"/>
      <c r="J79" s="147"/>
      <c r="K79" s="147"/>
      <c r="L79" s="147"/>
      <c r="M79" s="147"/>
    </row>
    <row r="80" spans="1:14">
      <c r="A80" s="169" t="s">
        <v>936</v>
      </c>
      <c r="B80" s="147"/>
      <c r="C80" s="296">
        <f>+C74</f>
        <v>146630.35999999999</v>
      </c>
      <c r="D80" s="297">
        <f>+D74</f>
        <v>3197</v>
      </c>
      <c r="E80" s="499">
        <f>E60</f>
        <v>2.91</v>
      </c>
      <c r="F80" s="170">
        <f>E80/D80</f>
        <v>9.1022833906787622E-4</v>
      </c>
      <c r="G80" s="153">
        <f>C80*F80</f>
        <v>133.46710903972473</v>
      </c>
      <c r="H80" s="171"/>
      <c r="I80" s="147"/>
      <c r="J80" s="443"/>
      <c r="K80" s="147"/>
      <c r="L80" s="147"/>
      <c r="M80" s="147"/>
    </row>
    <row r="81" spans="1:13">
      <c r="A81" s="169" t="s">
        <v>937</v>
      </c>
      <c r="B81" s="147"/>
      <c r="C81" s="296">
        <f>+C75</f>
        <v>953587.50000000023</v>
      </c>
      <c r="D81" s="297">
        <f>+D80</f>
        <v>3197</v>
      </c>
      <c r="E81" s="499">
        <f>E60</f>
        <v>2.91</v>
      </c>
      <c r="F81" s="170">
        <f>E81/D81</f>
        <v>9.1022833906787622E-4</v>
      </c>
      <c r="G81" s="153">
        <f>C81*F81</f>
        <v>867.98236628088864</v>
      </c>
      <c r="H81" s="171"/>
      <c r="I81" s="147"/>
      <c r="J81" s="443"/>
      <c r="K81" s="147"/>
      <c r="L81" s="147"/>
      <c r="M81" s="147"/>
    </row>
    <row r="82" spans="1:13" ht="15.75" thickBot="1">
      <c r="A82" s="169"/>
      <c r="B82" s="147"/>
      <c r="C82" s="148"/>
      <c r="D82" s="148"/>
      <c r="E82" s="148"/>
      <c r="F82" s="147"/>
      <c r="G82" s="186">
        <f>SUM(G80:G81)</f>
        <v>1001.4494753206134</v>
      </c>
      <c r="H82" s="171"/>
      <c r="I82" s="147"/>
      <c r="J82" s="147"/>
      <c r="K82" s="147"/>
      <c r="L82" s="147"/>
      <c r="M82" s="147"/>
    </row>
    <row r="83" spans="1:13" ht="16.5" thickTop="1" thickBot="1">
      <c r="A83" s="172"/>
      <c r="B83" s="173"/>
      <c r="C83" s="174"/>
      <c r="D83" s="174"/>
      <c r="E83" s="174"/>
      <c r="F83" s="173"/>
      <c r="G83" s="173"/>
      <c r="H83" s="175"/>
      <c r="I83" s="147"/>
      <c r="J83" s="147"/>
      <c r="K83" s="147"/>
      <c r="L83" s="147"/>
      <c r="M83" s="147"/>
    </row>
    <row r="84" spans="1:13" ht="15.75" thickBot="1">
      <c r="A84" s="147"/>
      <c r="B84" s="147"/>
      <c r="C84" s="148"/>
      <c r="D84" s="148"/>
      <c r="E84" s="148"/>
      <c r="F84" s="147"/>
      <c r="G84" s="147"/>
      <c r="H84" s="147"/>
      <c r="I84" s="147"/>
      <c r="J84" s="147"/>
      <c r="K84" s="147"/>
      <c r="L84" s="147"/>
      <c r="M84" s="147"/>
    </row>
    <row r="85" spans="1:13">
      <c r="A85" s="165" t="s">
        <v>1158</v>
      </c>
      <c r="B85" s="166"/>
      <c r="C85" s="166"/>
      <c r="D85" s="167"/>
      <c r="E85" s="167"/>
      <c r="F85" s="167"/>
      <c r="G85" s="166"/>
      <c r="H85" s="168"/>
      <c r="I85" s="147"/>
      <c r="J85" s="147"/>
      <c r="K85" s="147"/>
      <c r="L85" s="147"/>
      <c r="M85" s="147"/>
    </row>
    <row r="86" spans="1:13" ht="51">
      <c r="A86" s="169"/>
      <c r="B86" s="147"/>
      <c r="C86" s="148" t="s">
        <v>1824</v>
      </c>
      <c r="D86" s="146" t="s">
        <v>1159</v>
      </c>
      <c r="E86" s="176" t="s">
        <v>1160</v>
      </c>
      <c r="F86" s="176" t="s">
        <v>1161</v>
      </c>
      <c r="G86" s="176" t="s">
        <v>1162</v>
      </c>
      <c r="H86" s="171"/>
      <c r="I86" s="147"/>
      <c r="J86" s="147"/>
      <c r="K86" s="147"/>
      <c r="L86" s="147"/>
      <c r="M86" s="147"/>
    </row>
    <row r="87" spans="1:13">
      <c r="A87" s="169" t="s">
        <v>936</v>
      </c>
      <c r="B87" s="147"/>
      <c r="C87" s="298">
        <v>146630.35999999999</v>
      </c>
      <c r="D87" s="298">
        <f>+C87*0.75</f>
        <v>109972.76999999999</v>
      </c>
      <c r="E87" s="445">
        <v>21036</v>
      </c>
      <c r="F87" s="445">
        <v>232</v>
      </c>
      <c r="G87" s="153">
        <f>(F87/E87)*D87</f>
        <v>1212.8580832857956</v>
      </c>
      <c r="H87" s="171"/>
      <c r="I87" s="147"/>
      <c r="J87" s="443"/>
      <c r="K87" s="147"/>
      <c r="L87" s="147"/>
      <c r="M87" s="147"/>
    </row>
    <row r="88" spans="1:13">
      <c r="A88" s="169" t="s">
        <v>937</v>
      </c>
      <c r="B88" s="147"/>
      <c r="C88" s="298">
        <v>953587.50000000023</v>
      </c>
      <c r="D88" s="298">
        <f>+C88*0.75</f>
        <v>715190.62500000023</v>
      </c>
      <c r="E88" s="445">
        <v>21036</v>
      </c>
      <c r="F88" s="445">
        <v>232</v>
      </c>
      <c r="G88" s="153">
        <f>(F88/E88)*D88</f>
        <v>7887.6319167142065</v>
      </c>
      <c r="H88" s="171"/>
      <c r="I88" s="147"/>
      <c r="J88" s="443"/>
      <c r="K88" s="147"/>
      <c r="L88" s="147"/>
      <c r="M88" s="147"/>
    </row>
    <row r="89" spans="1:13" ht="15.75" thickBot="1">
      <c r="A89" s="169"/>
      <c r="B89" s="160"/>
      <c r="C89" s="147"/>
      <c r="D89" s="147"/>
      <c r="E89" s="147"/>
      <c r="F89" s="147"/>
      <c r="G89" s="186">
        <f>SUM(G87:G88)</f>
        <v>9100.4900000000016</v>
      </c>
      <c r="H89" s="177"/>
      <c r="I89" s="179"/>
      <c r="J89" s="147"/>
      <c r="K89" s="147"/>
      <c r="L89" s="147"/>
      <c r="M89" s="147"/>
    </row>
    <row r="90" spans="1:13" ht="16.5" thickTop="1" thickBot="1">
      <c r="A90" s="172"/>
      <c r="B90" s="173"/>
      <c r="C90" s="174"/>
      <c r="D90" s="174"/>
      <c r="E90" s="174"/>
      <c r="F90" s="173"/>
      <c r="G90" s="173"/>
      <c r="H90" s="178"/>
      <c r="I90" s="179"/>
      <c r="J90" s="147"/>
      <c r="K90" s="147"/>
      <c r="L90" s="147"/>
      <c r="M90" s="147"/>
    </row>
    <row r="91" spans="1:13">
      <c r="A91" s="147"/>
      <c r="B91" s="147"/>
      <c r="C91" s="148"/>
      <c r="D91" s="148"/>
      <c r="E91" s="148"/>
      <c r="F91" s="147"/>
      <c r="G91" s="147"/>
      <c r="H91" s="179"/>
      <c r="I91" s="179"/>
      <c r="J91" s="147"/>
      <c r="K91" s="147"/>
      <c r="L91" s="147"/>
      <c r="M91" s="147"/>
    </row>
    <row r="92" spans="1:13">
      <c r="A92" s="147"/>
      <c r="B92" s="147"/>
      <c r="C92" s="148"/>
      <c r="D92" s="148"/>
      <c r="E92" s="148"/>
      <c r="F92" s="147"/>
      <c r="G92" s="185"/>
      <c r="H92" s="179"/>
      <c r="I92" s="179"/>
      <c r="J92" s="147"/>
      <c r="K92" s="147"/>
      <c r="L92" s="147"/>
      <c r="M92" s="147"/>
    </row>
    <row r="93" spans="1:13">
      <c r="A93" s="147"/>
      <c r="B93" s="147"/>
      <c r="C93" s="148"/>
      <c r="D93" s="347"/>
      <c r="E93" s="148"/>
      <c r="F93" s="147"/>
      <c r="G93" s="147"/>
      <c r="H93" s="179"/>
      <c r="I93" s="179"/>
      <c r="J93" s="147"/>
      <c r="K93" s="147"/>
      <c r="L93" s="147"/>
      <c r="M93" s="147"/>
    </row>
    <row r="94" spans="1:13">
      <c r="A94" s="147"/>
      <c r="B94" s="147"/>
      <c r="C94" s="148"/>
      <c r="D94" s="347"/>
      <c r="E94" s="148"/>
      <c r="F94" s="147"/>
      <c r="G94" s="147"/>
      <c r="H94" s="179"/>
      <c r="I94" s="179"/>
      <c r="J94" s="147"/>
      <c r="K94" s="147"/>
      <c r="L94" s="147"/>
      <c r="M94" s="147"/>
    </row>
    <row r="95" spans="1:13">
      <c r="A95" s="147"/>
      <c r="B95" s="147"/>
      <c r="C95" s="148"/>
      <c r="D95" s="148"/>
      <c r="E95" s="148"/>
      <c r="F95" s="147"/>
      <c r="G95" s="147"/>
      <c r="H95" s="179"/>
      <c r="I95" s="179"/>
      <c r="J95" s="147"/>
      <c r="K95" s="147"/>
      <c r="L95" s="147"/>
      <c r="M95" s="147"/>
    </row>
    <row r="96" spans="1:13">
      <c r="A96" s="147"/>
      <c r="B96" s="147"/>
      <c r="C96" s="148"/>
      <c r="D96" s="148"/>
      <c r="E96" s="148"/>
      <c r="F96" s="147"/>
      <c r="G96" s="147"/>
      <c r="H96" s="179"/>
      <c r="I96" s="179"/>
      <c r="J96" s="147"/>
      <c r="K96" s="147"/>
      <c r="L96" s="147"/>
      <c r="M96" s="147"/>
    </row>
    <row r="97" spans="1:13">
      <c r="A97" s="147"/>
      <c r="B97" s="147"/>
      <c r="C97" s="148"/>
      <c r="D97" s="148"/>
      <c r="E97" s="148"/>
      <c r="F97" s="147"/>
      <c r="G97" s="147"/>
      <c r="H97" s="179"/>
      <c r="I97" s="179"/>
      <c r="J97" s="147"/>
      <c r="K97" s="147"/>
      <c r="L97" s="147"/>
      <c r="M97" s="147"/>
    </row>
    <row r="98" spans="1:13">
      <c r="A98" s="147"/>
      <c r="B98" s="147"/>
      <c r="C98" s="148"/>
      <c r="D98" s="148"/>
      <c r="E98" s="148"/>
      <c r="F98" s="147"/>
      <c r="G98" s="147"/>
      <c r="H98" s="179"/>
      <c r="I98" s="179"/>
      <c r="J98" s="147"/>
      <c r="K98" s="147"/>
      <c r="L98" s="147"/>
      <c r="M98" s="147"/>
    </row>
    <row r="99" spans="1:13">
      <c r="A99" s="147"/>
      <c r="B99" s="147"/>
      <c r="C99" s="148"/>
      <c r="D99" s="148"/>
      <c r="E99" s="148"/>
      <c r="F99" s="147"/>
      <c r="G99" s="147"/>
      <c r="H99" s="179"/>
      <c r="I99" s="179"/>
      <c r="J99" s="147"/>
      <c r="K99" s="147"/>
      <c r="L99" s="147"/>
      <c r="M99" s="147"/>
    </row>
    <row r="100" spans="1:13">
      <c r="A100" s="147"/>
      <c r="B100" s="147"/>
      <c r="C100" s="148"/>
      <c r="D100" s="148"/>
      <c r="E100" s="148"/>
      <c r="F100" s="147"/>
      <c r="G100" s="147"/>
      <c r="H100" s="179"/>
      <c r="I100" s="179"/>
      <c r="J100" s="147"/>
      <c r="K100" s="147"/>
      <c r="L100" s="147"/>
      <c r="M100" s="147"/>
    </row>
    <row r="101" spans="1:13">
      <c r="A101" s="147"/>
      <c r="B101" s="147"/>
      <c r="C101" s="148"/>
      <c r="D101" s="148"/>
      <c r="E101" s="148"/>
      <c r="F101" s="147"/>
      <c r="G101" s="147"/>
      <c r="H101" s="179"/>
      <c r="I101" s="179"/>
      <c r="J101" s="147"/>
      <c r="K101" s="147"/>
      <c r="L101" s="147"/>
      <c r="M101" s="147"/>
    </row>
    <row r="102" spans="1:13">
      <c r="A102" s="147"/>
      <c r="B102" s="147"/>
      <c r="C102" s="148"/>
      <c r="D102" s="148"/>
      <c r="E102" s="148"/>
      <c r="F102" s="147"/>
      <c r="G102" s="147"/>
      <c r="H102" s="179"/>
      <c r="I102" s="179"/>
      <c r="J102" s="147"/>
      <c r="K102" s="147"/>
      <c r="L102" s="147"/>
      <c r="M102" s="147"/>
    </row>
    <row r="103" spans="1:13">
      <c r="A103" s="147"/>
      <c r="B103" s="147"/>
      <c r="C103" s="148"/>
      <c r="D103" s="148"/>
      <c r="E103" s="148"/>
      <c r="F103" s="147"/>
      <c r="G103" s="147"/>
      <c r="H103" s="179"/>
      <c r="I103" s="179"/>
      <c r="J103" s="147"/>
      <c r="K103" s="147"/>
      <c r="L103" s="147"/>
      <c r="M103" s="147"/>
    </row>
    <row r="104" spans="1:13">
      <c r="A104" s="147"/>
      <c r="B104" s="147"/>
      <c r="C104" s="148"/>
      <c r="D104" s="148"/>
      <c r="E104" s="148"/>
      <c r="F104" s="147"/>
      <c r="G104" s="147"/>
      <c r="H104" s="179"/>
      <c r="I104" s="179"/>
      <c r="J104" s="147"/>
      <c r="K104" s="147"/>
      <c r="L104" s="147"/>
      <c r="M104" s="147"/>
    </row>
    <row r="105" spans="1:13">
      <c r="A105" s="147"/>
      <c r="B105" s="147"/>
      <c r="C105" s="148"/>
      <c r="D105" s="148"/>
      <c r="E105" s="148"/>
      <c r="F105" s="147"/>
      <c r="G105" s="147"/>
      <c r="H105" s="179"/>
      <c r="I105" s="179"/>
      <c r="J105" s="147"/>
      <c r="K105" s="147"/>
      <c r="L105" s="147"/>
      <c r="M105" s="147"/>
    </row>
    <row r="106" spans="1:13">
      <c r="A106" s="147"/>
      <c r="B106" s="147"/>
      <c r="C106" s="148"/>
      <c r="D106" s="148"/>
      <c r="E106" s="148"/>
      <c r="F106" s="147"/>
      <c r="G106" s="147"/>
      <c r="H106" s="179"/>
      <c r="I106" s="179"/>
      <c r="J106" s="147"/>
      <c r="K106" s="147"/>
      <c r="L106" s="147"/>
      <c r="M106" s="147"/>
    </row>
    <row r="107" spans="1:13">
      <c r="A107" s="147"/>
      <c r="B107" s="147"/>
      <c r="C107" s="148"/>
      <c r="D107" s="148"/>
      <c r="E107" s="148"/>
      <c r="F107" s="147"/>
      <c r="G107" s="147"/>
      <c r="H107" s="147"/>
      <c r="I107" s="147"/>
      <c r="J107" s="147"/>
      <c r="K107" s="147"/>
      <c r="L107" s="147"/>
      <c r="M107" s="147"/>
    </row>
    <row r="108" spans="1:13">
      <c r="A108" s="147"/>
      <c r="B108" s="147"/>
      <c r="C108" s="148"/>
      <c r="D108" s="148"/>
      <c r="E108" s="148"/>
      <c r="F108" s="147"/>
      <c r="G108" s="147"/>
      <c r="H108" s="179"/>
      <c r="I108" s="179"/>
      <c r="J108" s="147"/>
      <c r="K108" s="147"/>
      <c r="L108" s="147"/>
      <c r="M108" s="147"/>
    </row>
    <row r="109" spans="1:13">
      <c r="A109" s="147"/>
      <c r="B109" s="147"/>
      <c r="C109" s="148"/>
      <c r="D109" s="148"/>
      <c r="E109" s="148"/>
      <c r="F109" s="147"/>
      <c r="G109" s="147"/>
      <c r="H109" s="179"/>
      <c r="I109" s="179"/>
      <c r="J109" s="147"/>
      <c r="K109" s="147"/>
      <c r="L109" s="147"/>
      <c r="M109" s="147"/>
    </row>
    <row r="110" spans="1:13">
      <c r="A110" s="147"/>
      <c r="B110" s="147"/>
      <c r="C110" s="148"/>
      <c r="D110" s="148"/>
      <c r="E110" s="148"/>
      <c r="F110" s="147"/>
      <c r="G110" s="147"/>
      <c r="H110" s="179"/>
      <c r="I110" s="179"/>
      <c r="J110" s="147"/>
      <c r="K110" s="147"/>
      <c r="L110" s="147"/>
      <c r="M110" s="147"/>
    </row>
    <row r="111" spans="1:13">
      <c r="A111" s="147"/>
      <c r="B111" s="147"/>
      <c r="C111" s="148"/>
      <c r="D111" s="148"/>
      <c r="E111" s="148"/>
      <c r="F111" s="147"/>
      <c r="G111" s="147"/>
      <c r="H111" s="179"/>
      <c r="I111" s="179"/>
      <c r="J111" s="147"/>
      <c r="K111" s="147"/>
      <c r="L111" s="147"/>
      <c r="M111" s="147"/>
    </row>
    <row r="112" spans="1:13">
      <c r="A112" s="147"/>
      <c r="B112" s="147"/>
      <c r="C112" s="148"/>
      <c r="D112" s="148"/>
      <c r="E112" s="148"/>
      <c r="F112" s="147"/>
      <c r="G112" s="147"/>
      <c r="H112" s="179"/>
      <c r="I112" s="179"/>
      <c r="J112" s="147"/>
      <c r="K112" s="147"/>
      <c r="L112" s="147"/>
      <c r="M112" s="147"/>
    </row>
    <row r="113" spans="1:13">
      <c r="A113" s="147"/>
      <c r="B113" s="147"/>
      <c r="C113" s="148"/>
      <c r="D113" s="148"/>
      <c r="E113" s="148"/>
      <c r="F113" s="147"/>
      <c r="G113" s="147"/>
      <c r="H113" s="179"/>
      <c r="I113" s="179"/>
      <c r="J113" s="147"/>
      <c r="K113" s="147"/>
      <c r="L113" s="147"/>
      <c r="M113" s="147"/>
    </row>
    <row r="114" spans="1:13">
      <c r="A114" s="147"/>
      <c r="B114" s="147"/>
      <c r="C114" s="148"/>
      <c r="D114" s="148"/>
      <c r="E114" s="148"/>
      <c r="F114" s="147"/>
      <c r="G114" s="147"/>
      <c r="H114" s="179"/>
      <c r="I114" s="179"/>
      <c r="J114" s="147"/>
      <c r="K114" s="147"/>
      <c r="L114" s="147"/>
      <c r="M114" s="147"/>
    </row>
    <row r="115" spans="1:13">
      <c r="A115" s="147"/>
      <c r="B115" s="147"/>
      <c r="C115" s="148"/>
      <c r="D115" s="148"/>
      <c r="E115" s="148"/>
      <c r="F115" s="147"/>
      <c r="G115" s="148"/>
      <c r="H115" s="179"/>
      <c r="I115" s="179"/>
      <c r="J115" s="147"/>
      <c r="K115" s="147"/>
      <c r="L115" s="147"/>
      <c r="M115" s="147"/>
    </row>
    <row r="116" spans="1:13">
      <c r="A116" s="147"/>
      <c r="B116" s="147"/>
      <c r="C116" s="148"/>
      <c r="D116" s="148"/>
      <c r="E116" s="148"/>
      <c r="F116" s="147"/>
      <c r="G116" s="147"/>
      <c r="H116" s="179"/>
      <c r="I116" s="179"/>
      <c r="J116" s="147"/>
      <c r="K116" s="147"/>
      <c r="L116" s="147"/>
      <c r="M116" s="147"/>
    </row>
    <row r="117" spans="1:13">
      <c r="A117" s="147"/>
      <c r="B117" s="147"/>
      <c r="C117" s="148"/>
      <c r="D117" s="148"/>
      <c r="E117" s="148"/>
      <c r="F117" s="147"/>
      <c r="G117" s="147"/>
      <c r="H117" s="179"/>
      <c r="I117" s="179"/>
      <c r="J117" s="147"/>
      <c r="K117" s="147"/>
      <c r="L117" s="147"/>
      <c r="M117" s="147"/>
    </row>
    <row r="118" spans="1:13">
      <c r="A118" s="147"/>
      <c r="B118" s="147"/>
      <c r="C118" s="148"/>
      <c r="D118" s="148"/>
      <c r="E118" s="148"/>
      <c r="F118" s="147"/>
      <c r="G118" s="147"/>
      <c r="H118" s="179"/>
      <c r="I118" s="179"/>
      <c r="J118" s="147"/>
      <c r="K118" s="147"/>
      <c r="L118" s="147"/>
      <c r="M118" s="147"/>
    </row>
    <row r="119" spans="1:13">
      <c r="A119" s="147"/>
      <c r="B119" s="147"/>
      <c r="C119" s="148"/>
      <c r="D119" s="148"/>
      <c r="E119" s="148"/>
      <c r="F119" s="147"/>
      <c r="G119" s="147"/>
      <c r="H119" s="179"/>
      <c r="I119" s="179"/>
      <c r="J119" s="147"/>
      <c r="K119" s="147"/>
      <c r="L119" s="147"/>
      <c r="M119" s="147"/>
    </row>
    <row r="120" spans="1:13">
      <c r="A120" s="147"/>
      <c r="B120" s="147"/>
      <c r="C120" s="148"/>
      <c r="D120" s="148"/>
      <c r="E120" s="148"/>
      <c r="F120" s="147"/>
      <c r="G120" s="147"/>
      <c r="H120" s="179"/>
      <c r="I120" s="179"/>
      <c r="J120" s="147"/>
      <c r="K120" s="147"/>
      <c r="L120" s="147"/>
      <c r="M120" s="147"/>
    </row>
    <row r="121" spans="1:13">
      <c r="A121" s="147"/>
      <c r="B121" s="147"/>
      <c r="C121" s="148"/>
      <c r="D121" s="148"/>
      <c r="E121" s="148"/>
      <c r="F121" s="147"/>
      <c r="G121" s="147"/>
      <c r="H121" s="179"/>
      <c r="I121" s="179"/>
      <c r="J121" s="147"/>
      <c r="K121" s="147"/>
      <c r="L121" s="147"/>
      <c r="M121" s="147"/>
    </row>
    <row r="122" spans="1:13">
      <c r="A122" s="147"/>
      <c r="B122" s="147"/>
      <c r="C122" s="148"/>
      <c r="D122" s="148"/>
      <c r="E122" s="148"/>
      <c r="F122" s="147"/>
      <c r="G122" s="147"/>
      <c r="H122" s="179"/>
      <c r="I122" s="179"/>
      <c r="J122" s="147"/>
      <c r="K122" s="147"/>
      <c r="L122" s="147"/>
      <c r="M122" s="147"/>
    </row>
    <row r="123" spans="1:13">
      <c r="A123" s="147"/>
      <c r="B123" s="147"/>
      <c r="C123" s="148"/>
      <c r="D123" s="148"/>
      <c r="E123" s="148"/>
      <c r="F123" s="147"/>
      <c r="G123" s="147"/>
      <c r="H123" s="179"/>
      <c r="I123" s="179"/>
      <c r="J123" s="147"/>
      <c r="K123" s="147"/>
      <c r="L123" s="147"/>
      <c r="M123" s="147"/>
    </row>
    <row r="124" spans="1:13">
      <c r="A124" s="147"/>
      <c r="B124" s="147"/>
      <c r="C124" s="147"/>
      <c r="D124" s="147"/>
      <c r="E124" s="147"/>
      <c r="F124" s="147"/>
      <c r="G124" s="147"/>
      <c r="H124" s="147"/>
      <c r="I124" s="147"/>
      <c r="J124" s="147"/>
      <c r="K124" s="147"/>
      <c r="L124" s="147"/>
      <c r="M124" s="147"/>
    </row>
    <row r="125" spans="1:13">
      <c r="A125" s="147"/>
      <c r="B125" s="147"/>
      <c r="C125" s="147"/>
      <c r="D125" s="147"/>
      <c r="E125" s="147"/>
      <c r="F125" s="147"/>
      <c r="G125" s="147"/>
      <c r="H125" s="147"/>
      <c r="I125" s="147"/>
      <c r="J125" s="147"/>
      <c r="K125" s="147"/>
      <c r="L125" s="147"/>
      <c r="M125" s="147"/>
    </row>
    <row r="126" spans="1:13">
      <c r="A126" s="147"/>
      <c r="B126" s="147"/>
      <c r="C126" s="147"/>
      <c r="D126" s="147"/>
      <c r="E126" s="147"/>
      <c r="F126" s="147"/>
      <c r="G126" s="147"/>
      <c r="H126" s="147"/>
      <c r="I126" s="147"/>
      <c r="J126" s="147"/>
      <c r="K126" s="147"/>
      <c r="L126" s="147"/>
      <c r="M126" s="147"/>
    </row>
    <row r="127" spans="1:13">
      <c r="A127" s="147"/>
      <c r="B127" s="147"/>
      <c r="C127" s="148"/>
      <c r="D127" s="148"/>
      <c r="E127" s="148"/>
      <c r="F127" s="147"/>
      <c r="G127" s="147"/>
      <c r="H127" s="179"/>
      <c r="I127" s="179"/>
      <c r="J127" s="147"/>
      <c r="K127" s="147"/>
      <c r="L127" s="147"/>
      <c r="M127" s="147"/>
    </row>
    <row r="128" spans="1:13">
      <c r="A128" s="147"/>
      <c r="B128" s="147"/>
      <c r="C128" s="148"/>
      <c r="D128" s="148"/>
      <c r="E128" s="148"/>
      <c r="F128" s="147"/>
      <c r="G128" s="147"/>
      <c r="H128" s="179"/>
      <c r="I128" s="179"/>
      <c r="J128" s="147"/>
      <c r="K128" s="147"/>
      <c r="L128" s="147"/>
      <c r="M128" s="147"/>
    </row>
    <row r="129" spans="1:13">
      <c r="A129" s="147"/>
      <c r="B129" s="147"/>
      <c r="C129" s="148"/>
      <c r="D129" s="148"/>
      <c r="E129" s="148"/>
      <c r="F129" s="147"/>
      <c r="G129" s="147"/>
      <c r="H129" s="179"/>
      <c r="I129" s="179"/>
      <c r="J129" s="147"/>
      <c r="K129" s="147"/>
      <c r="L129" s="147"/>
      <c r="M129" s="147"/>
    </row>
    <row r="130" spans="1:13">
      <c r="A130" s="147"/>
      <c r="B130" s="147"/>
      <c r="C130" s="148"/>
      <c r="D130" s="148"/>
      <c r="E130" s="148"/>
      <c r="F130" s="147"/>
      <c r="G130" s="147"/>
      <c r="H130" s="147"/>
      <c r="I130" s="147"/>
      <c r="J130" s="147"/>
      <c r="K130" s="147"/>
      <c r="L130" s="147"/>
      <c r="M130" s="147"/>
    </row>
    <row r="131" spans="1:13">
      <c r="A131" s="147"/>
      <c r="B131" s="147"/>
      <c r="C131" s="148"/>
      <c r="D131" s="148"/>
      <c r="E131" s="148"/>
      <c r="F131" s="147"/>
      <c r="G131" s="147"/>
      <c r="H131" s="179"/>
      <c r="I131" s="179"/>
      <c r="J131" s="147"/>
      <c r="K131" s="147"/>
      <c r="L131" s="147"/>
      <c r="M131" s="147"/>
    </row>
    <row r="132" spans="1:13">
      <c r="A132" s="147"/>
      <c r="B132" s="147"/>
      <c r="C132" s="148"/>
      <c r="D132" s="148"/>
      <c r="E132" s="148"/>
      <c r="F132" s="147"/>
      <c r="G132" s="147"/>
      <c r="H132" s="179"/>
      <c r="I132" s="179"/>
      <c r="J132" s="147"/>
      <c r="K132" s="147"/>
      <c r="L132" s="147"/>
      <c r="M132" s="147"/>
    </row>
    <row r="133" spans="1:13">
      <c r="A133" s="147"/>
      <c r="B133" s="147"/>
      <c r="C133" s="148"/>
      <c r="D133" s="148"/>
      <c r="E133" s="148"/>
      <c r="F133" s="147"/>
      <c r="G133" s="147"/>
      <c r="H133" s="179"/>
      <c r="I133" s="179"/>
      <c r="J133" s="147"/>
      <c r="K133" s="147"/>
      <c r="L133" s="147"/>
      <c r="M133" s="147"/>
    </row>
    <row r="134" spans="1:13">
      <c r="A134" s="147"/>
      <c r="B134" s="147"/>
      <c r="C134" s="148"/>
      <c r="D134" s="148"/>
      <c r="E134" s="148"/>
      <c r="F134" s="147"/>
      <c r="G134" s="147"/>
      <c r="H134" s="179"/>
      <c r="I134" s="179"/>
      <c r="J134" s="147"/>
      <c r="K134" s="147"/>
      <c r="L134" s="147"/>
      <c r="M134" s="147"/>
    </row>
    <row r="135" spans="1:13">
      <c r="A135" s="147"/>
      <c r="B135" s="147"/>
      <c r="C135" s="147"/>
      <c r="D135" s="147"/>
      <c r="E135" s="147"/>
      <c r="F135" s="147"/>
      <c r="G135" s="147"/>
      <c r="H135" s="147"/>
      <c r="I135" s="147"/>
      <c r="J135" s="147"/>
      <c r="K135" s="147"/>
      <c r="L135" s="147"/>
      <c r="M135" s="147"/>
    </row>
    <row r="136" spans="1:13">
      <c r="A136" s="147"/>
      <c r="B136" s="147"/>
      <c r="C136" s="147"/>
      <c r="D136" s="147"/>
      <c r="E136" s="147"/>
      <c r="F136" s="147"/>
      <c r="G136" s="147"/>
      <c r="H136" s="147"/>
      <c r="I136" s="147"/>
      <c r="J136" s="147"/>
      <c r="K136" s="147"/>
      <c r="L136" s="147"/>
      <c r="M136" s="147"/>
    </row>
    <row r="137" spans="1:13">
      <c r="A137" s="147"/>
      <c r="B137" s="147"/>
      <c r="C137" s="147"/>
      <c r="D137" s="147"/>
      <c r="E137" s="147"/>
      <c r="F137" s="147"/>
      <c r="G137" s="147"/>
      <c r="H137" s="147"/>
      <c r="I137" s="147"/>
      <c r="J137" s="147"/>
      <c r="K137" s="147"/>
      <c r="L137" s="147"/>
      <c r="M137" s="147"/>
    </row>
    <row r="138" spans="1:13">
      <c r="A138" s="147"/>
      <c r="B138" s="147"/>
      <c r="C138" s="147"/>
      <c r="D138" s="147"/>
      <c r="E138" s="147"/>
      <c r="F138" s="147"/>
      <c r="G138" s="147"/>
      <c r="H138" s="147"/>
      <c r="I138" s="147"/>
      <c r="J138" s="147"/>
      <c r="K138" s="147"/>
      <c r="L138" s="147"/>
      <c r="M138" s="147"/>
    </row>
    <row r="139" spans="1:13">
      <c r="A139" s="147"/>
      <c r="B139" s="147"/>
      <c r="C139" s="147"/>
      <c r="D139" s="147"/>
      <c r="E139" s="147"/>
      <c r="F139" s="147"/>
      <c r="G139" s="159"/>
      <c r="H139" s="147"/>
      <c r="I139" s="147"/>
      <c r="J139" s="147"/>
      <c r="K139" s="147"/>
      <c r="L139" s="147"/>
      <c r="M139" s="147"/>
    </row>
    <row r="140" spans="1:13">
      <c r="A140" s="147"/>
      <c r="B140" s="147"/>
      <c r="C140" s="147"/>
      <c r="D140" s="147"/>
      <c r="E140" s="147"/>
      <c r="F140" s="147"/>
      <c r="G140" s="159"/>
      <c r="H140" s="147"/>
      <c r="I140" s="147"/>
      <c r="J140" s="147"/>
      <c r="K140" s="147"/>
      <c r="L140" s="147"/>
      <c r="M140" s="147"/>
    </row>
    <row r="141" spans="1:13">
      <c r="A141" s="147"/>
      <c r="B141" s="147"/>
      <c r="C141" s="147"/>
      <c r="D141" s="147"/>
      <c r="E141" s="147"/>
      <c r="F141" s="147"/>
      <c r="G141" s="147"/>
      <c r="H141" s="147"/>
      <c r="I141" s="147"/>
      <c r="J141" s="147"/>
      <c r="K141" s="147"/>
      <c r="L141" s="147"/>
      <c r="M141" s="147"/>
    </row>
    <row r="142" spans="1:13">
      <c r="A142" s="147"/>
      <c r="B142" s="147"/>
      <c r="C142" s="147"/>
      <c r="D142" s="147"/>
      <c r="E142" s="147"/>
      <c r="F142" s="147"/>
      <c r="G142" s="147"/>
      <c r="H142" s="147"/>
      <c r="I142" s="147"/>
      <c r="J142" s="147"/>
      <c r="K142" s="147"/>
      <c r="L142" s="147"/>
      <c r="M142" s="147"/>
    </row>
    <row r="143" spans="1:13">
      <c r="A143" s="147"/>
      <c r="B143" s="147"/>
      <c r="C143" s="147"/>
      <c r="D143" s="147"/>
      <c r="E143" s="147"/>
      <c r="F143" s="147"/>
      <c r="G143" s="147"/>
      <c r="H143" s="147"/>
      <c r="I143" s="147"/>
      <c r="J143" s="147"/>
      <c r="K143" s="147"/>
      <c r="L143" s="147"/>
      <c r="M143" s="147"/>
    </row>
    <row r="144" spans="1:13">
      <c r="A144" s="147"/>
      <c r="B144" s="147"/>
      <c r="C144" s="147"/>
      <c r="D144" s="147"/>
      <c r="E144" s="147"/>
      <c r="F144" s="147"/>
      <c r="G144" s="147"/>
      <c r="H144" s="147"/>
      <c r="I144" s="147"/>
      <c r="J144" s="147"/>
      <c r="K144" s="147"/>
      <c r="L144" s="147"/>
      <c r="M144" s="147"/>
    </row>
  </sheetData>
  <mergeCells count="1">
    <mergeCell ref="A3:B3"/>
  </mergeCells>
  <pageMargins left="0.7" right="0.7" top="0.75" bottom="0.75" header="0.3" footer="0.3"/>
  <pageSetup scale="57" fitToHeight="5" orientation="landscape" r:id="rId1"/>
  <rowBreaks count="1" manualBreakCount="1">
    <brk id="5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51C5-64D4-42EF-881B-8828968BF248}">
  <sheetPr>
    <pageSetUpPr fitToPage="1"/>
  </sheetPr>
  <dimension ref="A1:AN165"/>
  <sheetViews>
    <sheetView topLeftCell="Q36" workbookViewId="0">
      <selection activeCell="AH76" sqref="AH76"/>
    </sheetView>
  </sheetViews>
  <sheetFormatPr defaultColWidth="8.7109375" defaultRowHeight="15"/>
  <cols>
    <col min="1" max="1" width="6" customWidth="1"/>
    <col min="2" max="2" width="32" customWidth="1"/>
    <col min="3" max="3" width="29.7109375" customWidth="1"/>
    <col min="4" max="4" width="9.5703125" customWidth="1"/>
    <col min="5" max="5" width="18.5703125" style="324" customWidth="1"/>
    <col min="6" max="6" width="12" customWidth="1"/>
    <col min="7" max="12" width="6.7109375" style="3" customWidth="1"/>
    <col min="13" max="13" width="14.42578125" style="3" customWidth="1"/>
    <col min="14" max="15" width="13.7109375" style="3" customWidth="1"/>
    <col min="16" max="16" width="9.42578125" style="3" customWidth="1"/>
    <col min="17" max="17" width="11.5703125" style="3" customWidth="1"/>
    <col min="18" max="18" width="12.5703125" style="3" customWidth="1"/>
    <col min="19" max="19" width="13.7109375" style="3" customWidth="1"/>
    <col min="20" max="20" width="12.85546875" style="3" customWidth="1"/>
    <col min="21" max="21" width="11.85546875" style="3" customWidth="1"/>
    <col min="22" max="27" width="12.28515625" customWidth="1"/>
    <col min="28" max="28" width="4.28515625" customWidth="1"/>
    <col min="29" max="29" width="12.28515625" customWidth="1"/>
    <col min="30" max="30" width="15.28515625" customWidth="1"/>
    <col min="31" max="31" width="12.28515625" customWidth="1"/>
    <col min="32" max="33" width="15.28515625" customWidth="1"/>
    <col min="34" max="37" width="12.28515625" customWidth="1"/>
    <col min="38" max="45" width="16.5703125" bestFit="1" customWidth="1"/>
  </cols>
  <sheetData>
    <row r="1" spans="1:38" s="525" customFormat="1" ht="12.75">
      <c r="A1" s="575" t="s">
        <v>0</v>
      </c>
      <c r="B1" s="324"/>
      <c r="C1" s="324"/>
      <c r="D1" s="522"/>
      <c r="E1" s="324"/>
      <c r="F1" s="523"/>
      <c r="G1" s="487"/>
      <c r="H1" s="487"/>
      <c r="I1" s="487"/>
      <c r="J1" s="487"/>
      <c r="K1" s="487"/>
      <c r="L1" s="487"/>
      <c r="M1" s="487"/>
      <c r="N1" s="487"/>
      <c r="O1" s="487"/>
      <c r="P1" s="487"/>
      <c r="Q1" s="487"/>
      <c r="R1" s="487"/>
      <c r="S1" s="487"/>
      <c r="T1" s="487"/>
      <c r="U1" s="487"/>
      <c r="V1" s="324"/>
      <c r="W1" s="324"/>
      <c r="X1" s="324"/>
      <c r="Y1" s="324"/>
      <c r="Z1" s="383"/>
      <c r="AA1" s="383"/>
      <c r="AB1" s="383"/>
      <c r="AC1" s="383"/>
      <c r="AD1" s="524"/>
      <c r="AE1" s="524"/>
      <c r="AF1" s="524"/>
      <c r="AG1" s="524"/>
      <c r="AH1" s="383"/>
      <c r="AI1" s="383"/>
      <c r="AJ1" s="383"/>
      <c r="AK1" s="383"/>
    </row>
    <row r="2" spans="1:38" s="525" customFormat="1" ht="12.75">
      <c r="A2" s="318" t="s">
        <v>1467</v>
      </c>
      <c r="B2" s="324"/>
      <c r="C2" s="324"/>
      <c r="D2" s="324"/>
      <c r="E2" s="526"/>
      <c r="F2" s="324"/>
      <c r="G2" s="487"/>
      <c r="H2" s="487"/>
      <c r="I2" s="487"/>
      <c r="J2" s="487"/>
      <c r="K2" s="487"/>
      <c r="L2" s="487"/>
      <c r="M2" s="487"/>
      <c r="N2" s="487"/>
      <c r="O2" s="487"/>
      <c r="P2" s="487"/>
      <c r="Q2" s="487"/>
      <c r="R2" s="487"/>
      <c r="S2" s="487"/>
      <c r="T2" s="487"/>
      <c r="U2" s="487"/>
      <c r="V2" s="324"/>
      <c r="W2" s="324"/>
      <c r="X2" s="527"/>
      <c r="Y2" s="324"/>
      <c r="Z2" s="383"/>
      <c r="AA2" s="383"/>
      <c r="AB2" s="383"/>
      <c r="AC2" s="383"/>
      <c r="AD2" s="524"/>
      <c r="AE2" s="524"/>
      <c r="AF2" s="524"/>
      <c r="AG2" s="524"/>
      <c r="AH2" s="383"/>
      <c r="AI2" s="383"/>
      <c r="AJ2" s="383"/>
      <c r="AK2" s="383"/>
    </row>
    <row r="3" spans="1:38" s="536" customFormat="1" ht="12.75">
      <c r="A3" s="528"/>
      <c r="B3" s="529"/>
      <c r="C3" s="529"/>
      <c r="D3" s="529" t="s">
        <v>1468</v>
      </c>
      <c r="E3" s="529" t="s">
        <v>1469</v>
      </c>
      <c r="F3" s="529"/>
      <c r="G3" s="530"/>
      <c r="H3" s="530"/>
      <c r="I3" s="530"/>
      <c r="J3" s="530"/>
      <c r="K3" s="530"/>
      <c r="L3" s="530"/>
      <c r="M3" s="531" t="s">
        <v>1470</v>
      </c>
      <c r="N3" s="531"/>
      <c r="O3" s="531"/>
      <c r="P3" s="530"/>
      <c r="Q3" s="531" t="s">
        <v>1471</v>
      </c>
      <c r="R3" s="531"/>
      <c r="S3" s="531"/>
      <c r="T3" s="531"/>
      <c r="U3" s="531"/>
      <c r="V3" s="529"/>
      <c r="W3" s="531" t="s">
        <v>1472</v>
      </c>
      <c r="X3" s="532"/>
      <c r="Y3" s="532"/>
      <c r="Z3" s="533"/>
      <c r="AA3" s="534"/>
      <c r="AB3" s="534"/>
      <c r="AC3" s="534"/>
      <c r="AD3" s="535"/>
      <c r="AE3" s="535"/>
      <c r="AF3" s="535"/>
      <c r="AG3" s="535"/>
      <c r="AH3" s="534"/>
      <c r="AI3" s="534" t="s">
        <v>1698</v>
      </c>
      <c r="AJ3" s="534"/>
      <c r="AK3" s="534"/>
    </row>
    <row r="4" spans="1:38" s="525" customFormat="1" ht="12.75">
      <c r="A4" s="529" t="s">
        <v>1473</v>
      </c>
      <c r="B4" s="529" t="s">
        <v>1474</v>
      </c>
      <c r="C4" s="529" t="s">
        <v>1475</v>
      </c>
      <c r="D4" s="529" t="s">
        <v>1476</v>
      </c>
      <c r="E4" s="529" t="s">
        <v>1477</v>
      </c>
      <c r="F4" s="529" t="s">
        <v>1478</v>
      </c>
      <c r="G4" s="529" t="s">
        <v>1479</v>
      </c>
      <c r="H4" s="529" t="s">
        <v>1480</v>
      </c>
      <c r="I4" s="529" t="s">
        <v>1481</v>
      </c>
      <c r="J4" s="529" t="s">
        <v>1482</v>
      </c>
      <c r="K4" s="529" t="s">
        <v>1483</v>
      </c>
      <c r="L4" s="529" t="s">
        <v>1484</v>
      </c>
      <c r="M4" s="529" t="s">
        <v>1485</v>
      </c>
      <c r="N4" s="529" t="s">
        <v>1486</v>
      </c>
      <c r="O4" s="529" t="s">
        <v>1487</v>
      </c>
      <c r="P4" s="529" t="s">
        <v>1488</v>
      </c>
      <c r="Q4" s="529" t="s">
        <v>1489</v>
      </c>
      <c r="R4" s="529" t="s">
        <v>1490</v>
      </c>
      <c r="S4" s="529" t="s">
        <v>1491</v>
      </c>
      <c r="T4" s="529" t="s">
        <v>1492</v>
      </c>
      <c r="U4" s="529" t="s">
        <v>1493</v>
      </c>
      <c r="V4" s="529" t="s">
        <v>1494</v>
      </c>
      <c r="W4" s="529" t="s">
        <v>1495</v>
      </c>
      <c r="X4" s="529" t="s">
        <v>1496</v>
      </c>
      <c r="Y4" s="529" t="s">
        <v>1497</v>
      </c>
      <c r="Z4" s="537" t="s">
        <v>1498</v>
      </c>
      <c r="AA4" s="534" t="s">
        <v>1499</v>
      </c>
      <c r="AB4" s="534" t="s">
        <v>1500</v>
      </c>
      <c r="AC4" s="534" t="s">
        <v>1501</v>
      </c>
      <c r="AD4" s="537" t="s">
        <v>1502</v>
      </c>
      <c r="AE4" s="537" t="s">
        <v>1503</v>
      </c>
      <c r="AF4" s="537" t="s">
        <v>1504</v>
      </c>
      <c r="AG4" s="537" t="s">
        <v>1590</v>
      </c>
      <c r="AH4" s="534" t="s">
        <v>1595</v>
      </c>
      <c r="AI4" s="534" t="s">
        <v>1596</v>
      </c>
      <c r="AJ4" s="534" t="s">
        <v>1597</v>
      </c>
      <c r="AK4" s="534" t="s">
        <v>1598</v>
      </c>
    </row>
    <row r="5" spans="1:38" s="318" customFormat="1" ht="25.15" customHeight="1">
      <c r="A5" s="600" t="s">
        <v>711</v>
      </c>
      <c r="B5" s="613" t="s">
        <v>1505</v>
      </c>
      <c r="C5" s="614" t="s">
        <v>1587</v>
      </c>
      <c r="D5" s="603" t="s">
        <v>1506</v>
      </c>
      <c r="E5" s="613" t="s">
        <v>1507</v>
      </c>
      <c r="F5" s="613" t="s">
        <v>1508</v>
      </c>
      <c r="G5" s="600" t="s">
        <v>1509</v>
      </c>
      <c r="H5" s="600"/>
      <c r="I5" s="600"/>
      <c r="J5" s="600" t="s">
        <v>1510</v>
      </c>
      <c r="K5" s="600"/>
      <c r="L5" s="600"/>
      <c r="M5" s="601" t="s">
        <v>1641</v>
      </c>
      <c r="N5" s="602"/>
      <c r="O5" s="602"/>
      <c r="P5" s="603" t="s">
        <v>1511</v>
      </c>
      <c r="Q5" s="605" t="s">
        <v>1512</v>
      </c>
      <c r="R5" s="606"/>
      <c r="S5" s="606"/>
      <c r="T5" s="606"/>
      <c r="U5" s="607"/>
      <c r="V5" s="608" t="s">
        <v>1513</v>
      </c>
      <c r="W5" s="609"/>
      <c r="X5" s="609"/>
      <c r="Y5" s="609"/>
      <c r="Z5" s="609"/>
      <c r="AA5" s="609"/>
      <c r="AB5" s="609"/>
      <c r="AC5" s="610"/>
      <c r="AD5" s="611" t="s">
        <v>1591</v>
      </c>
      <c r="AE5" s="611"/>
      <c r="AF5" s="611"/>
      <c r="AG5" s="611"/>
      <c r="AH5" s="612" t="s">
        <v>1514</v>
      </c>
      <c r="AI5" s="612"/>
      <c r="AJ5" s="612"/>
      <c r="AK5" s="612"/>
    </row>
    <row r="6" spans="1:38" s="318" customFormat="1" ht="33" customHeight="1">
      <c r="A6" s="600" t="s">
        <v>711</v>
      </c>
      <c r="B6" s="613"/>
      <c r="C6" s="604"/>
      <c r="D6" s="615"/>
      <c r="E6" s="600"/>
      <c r="F6" s="600"/>
      <c r="G6" s="538" t="s">
        <v>1515</v>
      </c>
      <c r="H6" s="538" t="s">
        <v>1516</v>
      </c>
      <c r="I6" s="538" t="s">
        <v>1517</v>
      </c>
      <c r="J6" s="538" t="s">
        <v>1515</v>
      </c>
      <c r="K6" s="538" t="s">
        <v>1516</v>
      </c>
      <c r="L6" s="538" t="s">
        <v>1517</v>
      </c>
      <c r="M6" s="540" t="s">
        <v>1518</v>
      </c>
      <c r="N6" s="540" t="s">
        <v>1519</v>
      </c>
      <c r="O6" s="540" t="s">
        <v>1520</v>
      </c>
      <c r="P6" s="604"/>
      <c r="Q6" s="541" t="s">
        <v>1521</v>
      </c>
      <c r="R6" s="542" t="s">
        <v>1522</v>
      </c>
      <c r="S6" s="542" t="s">
        <v>1523</v>
      </c>
      <c r="T6" s="542" t="s">
        <v>1524</v>
      </c>
      <c r="U6" s="542" t="s">
        <v>1525</v>
      </c>
      <c r="V6" s="539" t="s">
        <v>1526</v>
      </c>
      <c r="W6" s="543" t="s">
        <v>1527</v>
      </c>
      <c r="X6" s="543" t="s">
        <v>1528</v>
      </c>
      <c r="Y6" s="543" t="s">
        <v>1529</v>
      </c>
      <c r="Z6" s="544" t="s">
        <v>1589</v>
      </c>
      <c r="AA6" s="544" t="s">
        <v>1274</v>
      </c>
      <c r="AB6" s="545" t="s">
        <v>1530</v>
      </c>
      <c r="AC6" s="545" t="s">
        <v>1531</v>
      </c>
      <c r="AD6" s="397" t="s">
        <v>1526</v>
      </c>
      <c r="AE6" s="397" t="s">
        <v>1592</v>
      </c>
      <c r="AF6" s="397" t="s">
        <v>1593</v>
      </c>
      <c r="AG6" s="397" t="s">
        <v>1594</v>
      </c>
      <c r="AH6" s="546" t="s">
        <v>1532</v>
      </c>
      <c r="AI6" s="546" t="s">
        <v>1533</v>
      </c>
      <c r="AJ6" s="546" t="s">
        <v>1534</v>
      </c>
      <c r="AK6" s="546" t="s">
        <v>1599</v>
      </c>
    </row>
    <row r="7" spans="1:38" s="324" customFormat="1" ht="11.25">
      <c r="A7" s="547">
        <v>1</v>
      </c>
      <c r="B7" s="548"/>
      <c r="C7" s="345"/>
      <c r="D7" s="549"/>
      <c r="E7" s="550"/>
      <c r="F7" s="551"/>
      <c r="G7" s="552"/>
      <c r="H7" s="553"/>
      <c r="I7" s="554"/>
      <c r="J7" s="552"/>
      <c r="K7" s="553"/>
      <c r="L7" s="554"/>
      <c r="M7" s="555"/>
      <c r="N7" s="556"/>
      <c r="O7" s="557"/>
      <c r="P7" s="558"/>
      <c r="Q7" s="555"/>
      <c r="R7" s="556"/>
      <c r="S7" s="556"/>
      <c r="T7" s="556"/>
      <c r="U7" s="557"/>
      <c r="V7" s="559"/>
      <c r="W7" s="487"/>
      <c r="X7" s="487"/>
      <c r="Y7" s="487"/>
      <c r="Z7" s="402"/>
      <c r="AA7" s="402"/>
      <c r="AB7" s="402"/>
      <c r="AC7" s="560"/>
      <c r="AD7" s="399"/>
      <c r="AE7" s="400"/>
      <c r="AF7" s="400"/>
      <c r="AG7" s="561"/>
      <c r="AH7" s="508"/>
      <c r="AI7" s="562"/>
      <c r="AJ7" s="562"/>
      <c r="AK7" s="563"/>
    </row>
    <row r="8" spans="1:38" s="324" customFormat="1" ht="11.25">
      <c r="A8" s="564">
        <f t="shared" ref="A8:A75" si="0">A7+1</f>
        <v>2</v>
      </c>
      <c r="B8" s="574" t="str">
        <f>UPPER("Tax Cuts and Jobs Act of 2017 (federal)")</f>
        <v>TAX CUTS AND JOBS ACT OF 2017 (FEDERAL)</v>
      </c>
      <c r="C8" s="326"/>
      <c r="D8" s="354"/>
      <c r="E8" s="355"/>
      <c r="F8" s="356"/>
      <c r="G8" s="565"/>
      <c r="H8" s="558"/>
      <c r="I8" s="566"/>
      <c r="J8" s="565"/>
      <c r="K8" s="558"/>
      <c r="L8" s="566"/>
      <c r="M8" s="559"/>
      <c r="N8" s="487"/>
      <c r="O8" s="567"/>
      <c r="P8" s="558"/>
      <c r="Q8" s="559"/>
      <c r="R8" s="487"/>
      <c r="S8" s="487"/>
      <c r="T8" s="487"/>
      <c r="U8" s="567"/>
      <c r="V8" s="559"/>
      <c r="W8" s="487"/>
      <c r="X8" s="487"/>
      <c r="Y8" s="487"/>
      <c r="Z8" s="402"/>
      <c r="AA8" s="402"/>
      <c r="AB8" s="402"/>
      <c r="AC8" s="560"/>
      <c r="AD8" s="401"/>
      <c r="AE8" s="402"/>
      <c r="AF8" s="402"/>
      <c r="AG8" s="411"/>
      <c r="AH8" s="509"/>
      <c r="AI8" s="511"/>
      <c r="AJ8" s="511"/>
      <c r="AK8" s="560"/>
    </row>
    <row r="9" spans="1:38" s="324" customFormat="1" ht="11.25">
      <c r="A9" s="564">
        <f t="shared" si="0"/>
        <v>3</v>
      </c>
      <c r="B9" s="359"/>
      <c r="C9" s="326"/>
      <c r="D9" s="354"/>
      <c r="E9" s="355"/>
      <c r="F9" s="356"/>
      <c r="G9" s="565"/>
      <c r="H9" s="558"/>
      <c r="I9" s="566"/>
      <c r="J9" s="565"/>
      <c r="K9" s="558"/>
      <c r="L9" s="566"/>
      <c r="M9" s="559"/>
      <c r="N9" s="487"/>
      <c r="O9" s="567"/>
      <c r="P9" s="558"/>
      <c r="Q9" s="559"/>
      <c r="R9" s="487"/>
      <c r="S9" s="487"/>
      <c r="T9" s="487"/>
      <c r="U9" s="567"/>
      <c r="V9" s="559"/>
      <c r="W9" s="487"/>
      <c r="X9" s="487"/>
      <c r="Y9" s="487"/>
      <c r="Z9" s="402"/>
      <c r="AA9" s="402"/>
      <c r="AB9" s="402"/>
      <c r="AC9" s="560"/>
      <c r="AD9" s="401"/>
      <c r="AE9" s="402"/>
      <c r="AF9" s="402"/>
      <c r="AG9" s="411"/>
      <c r="AH9" s="509"/>
      <c r="AI9" s="511"/>
      <c r="AJ9" s="511"/>
      <c r="AK9" s="560"/>
    </row>
    <row r="10" spans="1:38" s="324" customFormat="1" ht="11.25">
      <c r="A10" s="325">
        <f t="shared" si="0"/>
        <v>4</v>
      </c>
      <c r="B10" s="359"/>
      <c r="C10" s="360" t="s">
        <v>1535</v>
      </c>
      <c r="D10" s="354"/>
      <c r="E10" s="355"/>
      <c r="F10" s="356"/>
      <c r="G10" s="357"/>
      <c r="H10" s="320"/>
      <c r="I10" s="358"/>
      <c r="J10" s="357"/>
      <c r="K10" s="320"/>
      <c r="L10" s="358"/>
      <c r="M10" s="321"/>
      <c r="N10" s="322"/>
      <c r="O10" s="323"/>
      <c r="P10" s="320"/>
      <c r="Q10" s="321"/>
      <c r="R10" s="322"/>
      <c r="S10" s="322"/>
      <c r="T10" s="322"/>
      <c r="U10" s="323"/>
      <c r="V10" s="321"/>
      <c r="W10" s="322"/>
      <c r="X10" s="322"/>
      <c r="Y10" s="322"/>
      <c r="Z10" s="380"/>
      <c r="AA10" s="380"/>
      <c r="AB10" s="380"/>
      <c r="AC10" s="398"/>
      <c r="AD10" s="401"/>
      <c r="AE10" s="402"/>
      <c r="AF10" s="402"/>
      <c r="AG10" s="403"/>
      <c r="AH10" s="509"/>
      <c r="AI10" s="378"/>
      <c r="AJ10" s="378"/>
      <c r="AK10" s="398"/>
    </row>
    <row r="11" spans="1:38" s="324" customFormat="1" ht="22.5">
      <c r="A11" s="325">
        <f t="shared" si="0"/>
        <v>5</v>
      </c>
      <c r="B11" s="506" t="s">
        <v>1536</v>
      </c>
      <c r="C11" s="326" t="s">
        <v>1683</v>
      </c>
      <c r="D11" s="354" t="s">
        <v>1541</v>
      </c>
      <c r="E11" s="393" t="s">
        <v>2011</v>
      </c>
      <c r="F11" s="513">
        <v>43100</v>
      </c>
      <c r="G11" s="394">
        <v>0.35</v>
      </c>
      <c r="H11" s="395">
        <v>5.57E-2</v>
      </c>
      <c r="I11" s="396">
        <v>0</v>
      </c>
      <c r="J11" s="394">
        <v>0.21</v>
      </c>
      <c r="K11" s="395">
        <v>5.57E-2</v>
      </c>
      <c r="L11" s="396">
        <v>0</v>
      </c>
      <c r="M11" s="373">
        <v>112531302</v>
      </c>
      <c r="N11" s="374">
        <v>67518786</v>
      </c>
      <c r="O11" s="323">
        <f>M11-N11</f>
        <v>45012516</v>
      </c>
      <c r="P11" s="320">
        <f>(1/(1-((J11-K11*J11)+K11)))-1</f>
        <v>0.34048796442881124</v>
      </c>
      <c r="Q11" s="321">
        <f>O11*(1+P11)</f>
        <v>60338735.946659297</v>
      </c>
      <c r="R11" s="322">
        <f>-O11</f>
        <v>-45012516</v>
      </c>
      <c r="S11" s="374">
        <v>0</v>
      </c>
      <c r="T11" s="374">
        <v>0</v>
      </c>
      <c r="U11" s="323">
        <f>-SUM(Q11:T11)</f>
        <v>-15326219.946659297</v>
      </c>
      <c r="V11" s="373">
        <v>11823344.509349415</v>
      </c>
      <c r="W11" s="374">
        <v>8317530.9989130422</v>
      </c>
      <c r="X11" s="374">
        <v>0</v>
      </c>
      <c r="Y11" s="374">
        <v>0</v>
      </c>
      <c r="Z11" s="404">
        <v>0</v>
      </c>
      <c r="AA11" s="404">
        <v>0</v>
      </c>
      <c r="AB11" s="380"/>
      <c r="AC11" s="398">
        <f>SUM(V11:AA11)</f>
        <v>20140875.508262455</v>
      </c>
      <c r="AD11" s="401">
        <f>O11-V11</f>
        <v>33189171.490650587</v>
      </c>
      <c r="AE11" s="402">
        <f>SUM(W11:AA11)</f>
        <v>8317530.9989130422</v>
      </c>
      <c r="AF11" s="402">
        <f>AD11-AE11</f>
        <v>24871640.491737545</v>
      </c>
      <c r="AG11" s="403">
        <f>(AD11+AF11)/2</f>
        <v>29030405.991194066</v>
      </c>
      <c r="AH11" s="509" t="s">
        <v>1711</v>
      </c>
      <c r="AI11" s="392">
        <v>0.1777</v>
      </c>
      <c r="AJ11" s="405">
        <f>AI11*SUM(W11:AA11)</f>
        <v>1478025.2585068475</v>
      </c>
      <c r="AK11" s="398">
        <f>AG11*AI11</f>
        <v>5158703.1446351856</v>
      </c>
    </row>
    <row r="12" spans="1:38" s="324" customFormat="1" ht="22.5">
      <c r="A12" s="325">
        <f t="shared" si="0"/>
        <v>6</v>
      </c>
      <c r="B12" s="506" t="s">
        <v>1536</v>
      </c>
      <c r="C12" s="326" t="s">
        <v>1684</v>
      </c>
      <c r="D12" s="354" t="s">
        <v>1538</v>
      </c>
      <c r="E12" s="393" t="s">
        <v>2011</v>
      </c>
      <c r="F12" s="513">
        <v>43100</v>
      </c>
      <c r="G12" s="394">
        <v>0.35</v>
      </c>
      <c r="H12" s="395">
        <v>5.57E-2</v>
      </c>
      <c r="I12" s="396">
        <v>0</v>
      </c>
      <c r="J12" s="394">
        <v>0.21</v>
      </c>
      <c r="K12" s="395">
        <v>5.57E-2</v>
      </c>
      <c r="L12" s="396">
        <v>0</v>
      </c>
      <c r="M12" s="373">
        <v>22228904.999999996</v>
      </c>
      <c r="N12" s="374">
        <v>13337342.999999998</v>
      </c>
      <c r="O12" s="323">
        <f>M12-N12</f>
        <v>8891561.9999999981</v>
      </c>
      <c r="P12" s="320">
        <f>(1/(1-((J12-K12*J12)+K12)))-1</f>
        <v>0.34048796442881124</v>
      </c>
      <c r="Q12" s="321">
        <f>O12*(1+P12)</f>
        <v>11919031.845972568</v>
      </c>
      <c r="R12" s="322">
        <f>-O12</f>
        <v>-8891561.9999999981</v>
      </c>
      <c r="S12" s="374">
        <v>0</v>
      </c>
      <c r="T12" s="374">
        <v>0</v>
      </c>
      <c r="U12" s="323">
        <f>-SUM(Q12:T12)</f>
        <v>-3027469.8459725697</v>
      </c>
      <c r="V12" s="373">
        <v>2238589.2742306278</v>
      </c>
      <c r="W12" s="374">
        <v>1643006.0956521723</v>
      </c>
      <c r="X12" s="374">
        <v>0</v>
      </c>
      <c r="Y12" s="374">
        <v>0</v>
      </c>
      <c r="Z12" s="404">
        <v>0</v>
      </c>
      <c r="AA12" s="404">
        <v>0</v>
      </c>
      <c r="AB12" s="380"/>
      <c r="AC12" s="398">
        <f>SUM(V12:AA12)</f>
        <v>3881595.3698828002</v>
      </c>
      <c r="AD12" s="401">
        <f>O12-V12</f>
        <v>6652972.7257693708</v>
      </c>
      <c r="AE12" s="402">
        <f>SUM(W12:AA12)</f>
        <v>1643006.0956521723</v>
      </c>
      <c r="AF12" s="402">
        <f>AD12-AE12</f>
        <v>5009966.6301171985</v>
      </c>
      <c r="AG12" s="403">
        <f>(AD12+AF12)/2</f>
        <v>5831469.6779432846</v>
      </c>
      <c r="AH12" s="509" t="s">
        <v>1711</v>
      </c>
      <c r="AI12" s="392">
        <v>0.1777</v>
      </c>
      <c r="AJ12" s="405">
        <f>AI12*SUM(W12:AA12)</f>
        <v>291962.18319739104</v>
      </c>
      <c r="AK12" s="398">
        <f>AG12*AI12</f>
        <v>1036252.1617705217</v>
      </c>
    </row>
    <row r="13" spans="1:38" s="324" customFormat="1" ht="22.5">
      <c r="A13" s="325">
        <f t="shared" si="0"/>
        <v>7</v>
      </c>
      <c r="B13" s="506" t="s">
        <v>1536</v>
      </c>
      <c r="C13" s="326" t="s">
        <v>1685</v>
      </c>
      <c r="D13" s="354" t="s">
        <v>1538</v>
      </c>
      <c r="E13" s="393" t="s">
        <v>2011</v>
      </c>
      <c r="F13" s="513">
        <v>43100</v>
      </c>
      <c r="G13" s="394">
        <v>0.35</v>
      </c>
      <c r="H13" s="395">
        <v>5.57E-2</v>
      </c>
      <c r="I13" s="396">
        <v>0</v>
      </c>
      <c r="J13" s="394">
        <v>0.21</v>
      </c>
      <c r="K13" s="395">
        <v>5.57E-2</v>
      </c>
      <c r="L13" s="396">
        <v>0</v>
      </c>
      <c r="M13" s="373">
        <v>-87172987.499499992</v>
      </c>
      <c r="N13" s="374">
        <v>-52303792.499699995</v>
      </c>
      <c r="O13" s="323">
        <f>M13-N13</f>
        <v>-34869194.999799997</v>
      </c>
      <c r="P13" s="320">
        <f>(1/(1-((J13-K13*J13)+K13)))-1</f>
        <v>0.34048796442881124</v>
      </c>
      <c r="Q13" s="321">
        <f>O13*(1+P13)</f>
        <v>-46741736.226553179</v>
      </c>
      <c r="R13" s="322">
        <f>-O13</f>
        <v>34869194.999799997</v>
      </c>
      <c r="S13" s="374">
        <v>0</v>
      </c>
      <c r="T13" s="374">
        <v>0</v>
      </c>
      <c r="U13" s="323">
        <f>-SUM(Q13:T13)</f>
        <v>11872541.226753183</v>
      </c>
      <c r="V13" s="373">
        <v>-9096342.7568167448</v>
      </c>
      <c r="W13" s="374">
        <v>0</v>
      </c>
      <c r="X13" s="374">
        <v>0</v>
      </c>
      <c r="Y13" s="374">
        <v>-6443220.8521739133</v>
      </c>
      <c r="Z13" s="404">
        <v>0</v>
      </c>
      <c r="AA13" s="404">
        <v>0</v>
      </c>
      <c r="AB13" s="380"/>
      <c r="AC13" s="398">
        <f>SUM(V13:AA13)</f>
        <v>-15539563.608990658</v>
      </c>
      <c r="AD13" s="401">
        <f>O13-V13</f>
        <v>-25772852.242983252</v>
      </c>
      <c r="AE13" s="402">
        <f>SUM(W13:AA13)</f>
        <v>-6443220.8521739133</v>
      </c>
      <c r="AF13" s="402">
        <f>AD13-AE13</f>
        <v>-19329631.390809339</v>
      </c>
      <c r="AG13" s="403">
        <f>(AD13+AF13)/2</f>
        <v>-22551241.816896297</v>
      </c>
      <c r="AH13" s="509" t="s">
        <v>1711</v>
      </c>
      <c r="AI13" s="392">
        <v>6.1899999999999997E-2</v>
      </c>
      <c r="AJ13" s="405">
        <f>AI13*SUM(W13:AA13)</f>
        <v>-398835.37074956519</v>
      </c>
      <c r="AK13" s="398">
        <f>AG13*AI13</f>
        <v>-1395921.8684658806</v>
      </c>
    </row>
    <row r="14" spans="1:38" s="324" customFormat="1" ht="22.5">
      <c r="A14" s="325">
        <f t="shared" si="0"/>
        <v>8</v>
      </c>
      <c r="B14" s="506" t="s">
        <v>1536</v>
      </c>
      <c r="C14" s="326" t="s">
        <v>1686</v>
      </c>
      <c r="D14" s="354" t="s">
        <v>1538</v>
      </c>
      <c r="E14" s="393" t="s">
        <v>2011</v>
      </c>
      <c r="F14" s="513">
        <v>43100</v>
      </c>
      <c r="G14" s="394">
        <v>0.35</v>
      </c>
      <c r="H14" s="395">
        <v>5.57E-2</v>
      </c>
      <c r="I14" s="396">
        <v>0</v>
      </c>
      <c r="J14" s="394">
        <v>0.21</v>
      </c>
      <c r="K14" s="395">
        <v>5.57E-2</v>
      </c>
      <c r="L14" s="396">
        <v>0</v>
      </c>
      <c r="M14" s="373">
        <v>96826752.999499992</v>
      </c>
      <c r="N14" s="374">
        <v>58096046.999699995</v>
      </c>
      <c r="O14" s="323">
        <f>M14-N14</f>
        <v>38730705.999799997</v>
      </c>
      <c r="P14" s="320">
        <f>(1/(1-((J14-K14*J14)+K14)))-1</f>
        <v>0.34048796442881124</v>
      </c>
      <c r="Q14" s="321">
        <f>O14*(1+P14)</f>
        <v>51918045.246562645</v>
      </c>
      <c r="R14" s="322">
        <f>-O14</f>
        <v>-38730705.999799997</v>
      </c>
      <c r="S14" s="374">
        <v>0</v>
      </c>
      <c r="T14" s="374">
        <v>0</v>
      </c>
      <c r="U14" s="323">
        <f>-SUM(Q14:T14)</f>
        <v>-13187339.246762648</v>
      </c>
      <c r="V14" s="373">
        <v>10103662.434730435</v>
      </c>
      <c r="W14" s="374">
        <v>9682676.4999499992</v>
      </c>
      <c r="X14" s="374">
        <v>0</v>
      </c>
      <c r="Y14" s="374">
        <v>0</v>
      </c>
      <c r="Z14" s="404">
        <v>0</v>
      </c>
      <c r="AA14" s="404">
        <v>0</v>
      </c>
      <c r="AB14" s="380"/>
      <c r="AC14" s="398">
        <f>SUM(V14:AA14)</f>
        <v>19786338.934680432</v>
      </c>
      <c r="AD14" s="401">
        <f>O14-V14</f>
        <v>28627043.565069564</v>
      </c>
      <c r="AE14" s="402">
        <f>SUM(W14:AA14)</f>
        <v>9682676.4999499992</v>
      </c>
      <c r="AF14" s="402">
        <f>AD14-AE14</f>
        <v>18944367.065119565</v>
      </c>
      <c r="AG14" s="403">
        <f>(AD14+AF14)/2</f>
        <v>23785705.315094564</v>
      </c>
      <c r="AH14" s="509" t="s">
        <v>1711</v>
      </c>
      <c r="AI14" s="392">
        <v>0</v>
      </c>
      <c r="AJ14" s="405">
        <f>AI14*SUM(W14:AA14)</f>
        <v>0</v>
      </c>
      <c r="AK14" s="398">
        <f>AG14*AI14</f>
        <v>0</v>
      </c>
    </row>
    <row r="15" spans="1:38" s="324" customFormat="1" ht="11.25">
      <c r="A15" s="325">
        <f t="shared" si="0"/>
        <v>9</v>
      </c>
      <c r="B15" s="506"/>
      <c r="C15" s="326"/>
      <c r="D15" s="354"/>
      <c r="E15" s="355"/>
      <c r="F15" s="356"/>
      <c r="G15" s="357"/>
      <c r="H15" s="320"/>
      <c r="I15" s="358"/>
      <c r="J15" s="357"/>
      <c r="K15" s="320"/>
      <c r="L15" s="358"/>
      <c r="M15" s="321"/>
      <c r="N15" s="322"/>
      <c r="O15" s="323"/>
      <c r="P15" s="320"/>
      <c r="Q15" s="321"/>
      <c r="R15" s="322"/>
      <c r="S15" s="322"/>
      <c r="T15" s="322"/>
      <c r="U15" s="323"/>
      <c r="V15" s="321"/>
      <c r="W15" s="322"/>
      <c r="X15" s="322"/>
      <c r="Y15" s="322"/>
      <c r="Z15" s="380"/>
      <c r="AA15" s="380"/>
      <c r="AB15" s="380"/>
      <c r="AC15" s="398"/>
      <c r="AD15" s="401"/>
      <c r="AE15" s="402"/>
      <c r="AF15" s="402"/>
      <c r="AG15" s="403"/>
      <c r="AH15" s="509"/>
      <c r="AI15" s="511"/>
      <c r="AJ15" s="405"/>
      <c r="AK15" s="398"/>
    </row>
    <row r="16" spans="1:38" s="324" customFormat="1" ht="11.25">
      <c r="A16" s="325">
        <f t="shared" si="0"/>
        <v>10</v>
      </c>
      <c r="B16" s="507"/>
      <c r="C16" s="360" t="s">
        <v>1539</v>
      </c>
      <c r="D16" s="362"/>
      <c r="E16" s="363"/>
      <c r="F16" s="364"/>
      <c r="G16" s="365"/>
      <c r="H16" s="366"/>
      <c r="I16" s="367"/>
      <c r="J16" s="365"/>
      <c r="K16" s="366"/>
      <c r="L16" s="367"/>
      <c r="M16" s="368">
        <f>SUBTOTAL(9,M11:M15)</f>
        <v>144413972.5</v>
      </c>
      <c r="N16" s="375">
        <f>SUBTOTAL(9,N11:N15)</f>
        <v>86648383.5</v>
      </c>
      <c r="O16" s="370">
        <f>SUBTOTAL(9,O11:O15)</f>
        <v>57765589</v>
      </c>
      <c r="P16" s="366"/>
      <c r="Q16" s="368">
        <f t="shared" ref="Q16:AA16" si="1">SUBTOTAL(9,Q11:Q15)</f>
        <v>77434076.812641323</v>
      </c>
      <c r="R16" s="369">
        <f t="shared" si="1"/>
        <v>-57765589</v>
      </c>
      <c r="S16" s="369">
        <f t="shared" si="1"/>
        <v>0</v>
      </c>
      <c r="T16" s="369">
        <f t="shared" si="1"/>
        <v>0</v>
      </c>
      <c r="U16" s="370">
        <f t="shared" si="1"/>
        <v>-19668487.81264133</v>
      </c>
      <c r="V16" s="368">
        <f t="shared" si="1"/>
        <v>15069253.461493732</v>
      </c>
      <c r="W16" s="369">
        <f t="shared" si="1"/>
        <v>19643213.594515212</v>
      </c>
      <c r="X16" s="369">
        <f t="shared" si="1"/>
        <v>0</v>
      </c>
      <c r="Y16" s="369">
        <f t="shared" si="1"/>
        <v>-6443220.8521739133</v>
      </c>
      <c r="Z16" s="381">
        <f t="shared" si="1"/>
        <v>0</v>
      </c>
      <c r="AA16" s="381">
        <f t="shared" si="1"/>
        <v>0</v>
      </c>
      <c r="AB16" s="381"/>
      <c r="AC16" s="406">
        <f>SUBTOTAL(9,AC11:AC15)</f>
        <v>28269246.203835029</v>
      </c>
      <c r="AD16" s="407">
        <f>SUBTOTAL(9,AD11:AD15)</f>
        <v>42696335.538506269</v>
      </c>
      <c r="AE16" s="408">
        <f>SUBTOTAL(9,AE11:AE15)</f>
        <v>13199992.7423413</v>
      </c>
      <c r="AF16" s="408">
        <f>SUBTOTAL(9,AF11:AF15)</f>
        <v>29496342.796164971</v>
      </c>
      <c r="AG16" s="409">
        <f>SUBTOTAL(9,AG11:AG15)</f>
        <v>36096339.167335615</v>
      </c>
      <c r="AH16" s="510"/>
      <c r="AI16" s="512"/>
      <c r="AJ16" s="408">
        <f t="shared" ref="AJ16:AK16" si="2">SUBTOTAL(9,AJ11:AJ15)</f>
        <v>1371152.0709546735</v>
      </c>
      <c r="AK16" s="406">
        <f t="shared" si="2"/>
        <v>4799033.4379398264</v>
      </c>
      <c r="AL16" s="327"/>
    </row>
    <row r="17" spans="1:38" s="324" customFormat="1" ht="11.25">
      <c r="A17" s="325">
        <f t="shared" si="0"/>
        <v>11</v>
      </c>
      <c r="B17" s="506"/>
      <c r="C17" s="326"/>
      <c r="D17" s="354"/>
      <c r="E17" s="355"/>
      <c r="F17" s="356"/>
      <c r="G17" s="357"/>
      <c r="H17" s="320"/>
      <c r="I17" s="358"/>
      <c r="J17" s="357"/>
      <c r="K17" s="320"/>
      <c r="L17" s="358"/>
      <c r="M17" s="321"/>
      <c r="N17" s="322"/>
      <c r="O17" s="323"/>
      <c r="P17" s="320"/>
      <c r="Q17" s="321"/>
      <c r="R17" s="322"/>
      <c r="S17" s="322"/>
      <c r="T17" s="322"/>
      <c r="U17" s="323"/>
      <c r="V17" s="321"/>
      <c r="W17" s="322"/>
      <c r="X17" s="322"/>
      <c r="Y17" s="322"/>
      <c r="Z17" s="380"/>
      <c r="AA17" s="380"/>
      <c r="AB17" s="380"/>
      <c r="AC17" s="398"/>
      <c r="AD17" s="401"/>
      <c r="AE17" s="402"/>
      <c r="AF17" s="402"/>
      <c r="AG17" s="403"/>
      <c r="AH17" s="509"/>
      <c r="AI17" s="511"/>
      <c r="AJ17" s="378"/>
      <c r="AK17" s="398"/>
    </row>
    <row r="18" spans="1:38" s="324" customFormat="1" ht="11.25">
      <c r="A18" s="325">
        <f t="shared" si="0"/>
        <v>12</v>
      </c>
      <c r="B18" s="506"/>
      <c r="C18" s="360" t="s">
        <v>1540</v>
      </c>
      <c r="D18" s="354"/>
      <c r="E18" s="355"/>
      <c r="F18" s="356"/>
      <c r="G18" s="357"/>
      <c r="H18" s="320"/>
      <c r="I18" s="358"/>
      <c r="J18" s="357"/>
      <c r="K18" s="320"/>
      <c r="L18" s="358"/>
      <c r="M18" s="321"/>
      <c r="N18" s="322"/>
      <c r="O18" s="323"/>
      <c r="P18" s="320"/>
      <c r="Q18" s="321"/>
      <c r="R18" s="322"/>
      <c r="S18" s="322"/>
      <c r="T18" s="322"/>
      <c r="U18" s="323"/>
      <c r="V18" s="321"/>
      <c r="W18" s="322"/>
      <c r="X18" s="322"/>
      <c r="Y18" s="322"/>
      <c r="Z18" s="380"/>
      <c r="AA18" s="380"/>
      <c r="AB18" s="380"/>
      <c r="AC18" s="398"/>
      <c r="AD18" s="401"/>
      <c r="AE18" s="402"/>
      <c r="AF18" s="402"/>
      <c r="AG18" s="403"/>
      <c r="AH18" s="509"/>
      <c r="AI18" s="511"/>
      <c r="AJ18" s="378"/>
      <c r="AK18" s="398"/>
    </row>
    <row r="19" spans="1:38" s="324" customFormat="1" ht="22.5">
      <c r="A19" s="325">
        <f t="shared" si="0"/>
        <v>13</v>
      </c>
      <c r="B19" s="506" t="s">
        <v>1536</v>
      </c>
      <c r="C19" s="326" t="s">
        <v>1768</v>
      </c>
      <c r="D19" s="354" t="s">
        <v>1541</v>
      </c>
      <c r="E19" s="393" t="s">
        <v>2012</v>
      </c>
      <c r="F19" s="513">
        <v>43100</v>
      </c>
      <c r="G19" s="394">
        <v>0.35</v>
      </c>
      <c r="H19" s="395">
        <v>5.57E-2</v>
      </c>
      <c r="I19" s="396">
        <v>0</v>
      </c>
      <c r="J19" s="394">
        <v>0.21</v>
      </c>
      <c r="K19" s="395">
        <v>5.57E-2</v>
      </c>
      <c r="L19" s="396">
        <v>0</v>
      </c>
      <c r="M19" s="373">
        <v>-109248807.50000001</v>
      </c>
      <c r="N19" s="374">
        <v>-65549284.500000007</v>
      </c>
      <c r="O19" s="323">
        <f t="shared" ref="O19:O24" si="3">M19-N19</f>
        <v>-43699523.000000007</v>
      </c>
      <c r="P19" s="320">
        <f>(1/(1-((J19-K19*J19)+K19)))-1</f>
        <v>0.34048796442881124</v>
      </c>
      <c r="Q19" s="373">
        <v>0</v>
      </c>
      <c r="R19" s="322">
        <f>O19-S19</f>
        <v>14879161.632780023</v>
      </c>
      <c r="S19" s="322">
        <f>O19*(1+P19)</f>
        <v>-58578684.63278003</v>
      </c>
      <c r="T19" s="322">
        <f>-O19</f>
        <v>43699523.000000007</v>
      </c>
      <c r="U19" s="323">
        <f>-O19-T19</f>
        <v>0</v>
      </c>
      <c r="V19" s="373">
        <v>-12301522.334723344</v>
      </c>
      <c r="W19" s="374">
        <v>0</v>
      </c>
      <c r="X19" s="374">
        <v>0</v>
      </c>
      <c r="Y19" s="374">
        <v>-1954080.0295085318</v>
      </c>
      <c r="Z19" s="404">
        <v>0</v>
      </c>
      <c r="AA19" s="404">
        <v>0</v>
      </c>
      <c r="AB19" s="380"/>
      <c r="AC19" s="398">
        <f>SUM(V19:AA19)</f>
        <v>-14255602.364231875</v>
      </c>
      <c r="AD19" s="401">
        <f>O19-V19</f>
        <v>-31398000.665276662</v>
      </c>
      <c r="AE19" s="402">
        <f>SUM(W19:AA19)</f>
        <v>-1954080.0295085318</v>
      </c>
      <c r="AF19" s="402">
        <f>AD19-AE19</f>
        <v>-29443920.63576813</v>
      </c>
      <c r="AG19" s="403">
        <f>(AD19+AF19)/2</f>
        <v>-30420960.650522396</v>
      </c>
      <c r="AH19" s="509" t="s">
        <v>1711</v>
      </c>
      <c r="AI19" s="392">
        <v>1</v>
      </c>
      <c r="AJ19" s="405">
        <f>AI19*SUM(W19:AA19)</f>
        <v>-1954080.0295085318</v>
      </c>
      <c r="AK19" s="398">
        <f>AG19*AI19</f>
        <v>-30420960.650522396</v>
      </c>
    </row>
    <row r="20" spans="1:38" s="324" customFormat="1" ht="22.5">
      <c r="A20" s="325">
        <f t="shared" si="0"/>
        <v>14</v>
      </c>
      <c r="B20" s="506" t="s">
        <v>1536</v>
      </c>
      <c r="C20" s="326" t="s">
        <v>1769</v>
      </c>
      <c r="D20" s="354" t="s">
        <v>1538</v>
      </c>
      <c r="E20" s="393" t="s">
        <v>2011</v>
      </c>
      <c r="F20" s="513">
        <v>43100</v>
      </c>
      <c r="G20" s="394">
        <v>0.35</v>
      </c>
      <c r="H20" s="395">
        <v>5.57E-2</v>
      </c>
      <c r="I20" s="396">
        <v>0</v>
      </c>
      <c r="J20" s="394">
        <v>0.21</v>
      </c>
      <c r="K20" s="395">
        <v>5.57E-2</v>
      </c>
      <c r="L20" s="396">
        <v>0</v>
      </c>
      <c r="M20" s="373">
        <v>-17644887.5</v>
      </c>
      <c r="N20" s="374">
        <v>-10586932.5</v>
      </c>
      <c r="O20" s="323">
        <f t="shared" si="3"/>
        <v>-7057955</v>
      </c>
      <c r="P20" s="320">
        <f t="shared" ref="P20:P23" si="4">(1/(1-((J20-K20*J20)+K20)))-1</f>
        <v>0.34048796442881124</v>
      </c>
      <c r="Q20" s="373">
        <v>0</v>
      </c>
      <c r="R20" s="322">
        <f t="shared" ref="R20:R23" si="5">O20-S20</f>
        <v>2403148.7309801504</v>
      </c>
      <c r="S20" s="322">
        <f t="shared" ref="S20:S23" si="6">O20*(1+P20)</f>
        <v>-9461103.7309801504</v>
      </c>
      <c r="T20" s="322">
        <f t="shared" ref="T20:T23" si="7">-O20</f>
        <v>7057955</v>
      </c>
      <c r="U20" s="323">
        <f t="shared" ref="U20:U23" si="8">-O20-T20</f>
        <v>0</v>
      </c>
      <c r="V20" s="373">
        <v>-1841205.5962930166</v>
      </c>
      <c r="W20" s="374">
        <v>0</v>
      </c>
      <c r="X20" s="374">
        <v>0</v>
      </c>
      <c r="Y20" s="374">
        <v>-1304187.2842453208</v>
      </c>
      <c r="Z20" s="404">
        <v>0</v>
      </c>
      <c r="AA20" s="404">
        <v>0</v>
      </c>
      <c r="AB20" s="380"/>
      <c r="AC20" s="398">
        <f t="shared" ref="AC20:AC23" si="9">SUM(V20:AA20)</f>
        <v>-3145392.8805383374</v>
      </c>
      <c r="AD20" s="401">
        <f t="shared" ref="AD20:AD23" si="10">O20-V20</f>
        <v>-5216749.4037069837</v>
      </c>
      <c r="AE20" s="402">
        <f t="shared" ref="AE20:AE23" si="11">SUM(W20:AA20)</f>
        <v>-1304187.2842453208</v>
      </c>
      <c r="AF20" s="402">
        <f t="shared" ref="AF20:AF23" si="12">AD20-AE20</f>
        <v>-3912562.1194616631</v>
      </c>
      <c r="AG20" s="403">
        <f t="shared" ref="AG20:AG23" si="13">(AD20+AF20)/2</f>
        <v>-4564655.7615843229</v>
      </c>
      <c r="AH20" s="509" t="s">
        <v>1711</v>
      </c>
      <c r="AI20" s="392">
        <v>1</v>
      </c>
      <c r="AJ20" s="405">
        <f t="shared" ref="AJ20:AJ23" si="14">AI20*SUM(W20:AA20)</f>
        <v>-1304187.2842453208</v>
      </c>
      <c r="AK20" s="398">
        <f t="shared" ref="AK20:AK23" si="15">AG20*AI20</f>
        <v>-4564655.7615843229</v>
      </c>
    </row>
    <row r="21" spans="1:38" s="324" customFormat="1" ht="22.5">
      <c r="A21" s="325">
        <f t="shared" si="0"/>
        <v>15</v>
      </c>
      <c r="B21" s="506" t="s">
        <v>1536</v>
      </c>
      <c r="C21" s="326" t="s">
        <v>1690</v>
      </c>
      <c r="D21" s="354" t="s">
        <v>1538</v>
      </c>
      <c r="E21" s="393" t="s">
        <v>2011</v>
      </c>
      <c r="F21" s="513">
        <v>43100</v>
      </c>
      <c r="G21" s="394">
        <v>0.35</v>
      </c>
      <c r="H21" s="395">
        <v>5.57E-2</v>
      </c>
      <c r="I21" s="396">
        <v>0</v>
      </c>
      <c r="J21" s="394">
        <v>0.21</v>
      </c>
      <c r="K21" s="395">
        <v>5.57E-2</v>
      </c>
      <c r="L21" s="396">
        <v>0</v>
      </c>
      <c r="M21" s="373">
        <v>-34235825</v>
      </c>
      <c r="N21" s="374">
        <v>-20541495</v>
      </c>
      <c r="O21" s="323">
        <f t="shared" si="3"/>
        <v>-13694330</v>
      </c>
      <c r="P21" s="320">
        <f t="shared" si="4"/>
        <v>0.34048796442881124</v>
      </c>
      <c r="Q21" s="373">
        <v>0</v>
      </c>
      <c r="R21" s="322">
        <f t="shared" si="5"/>
        <v>4662754.5459164008</v>
      </c>
      <c r="S21" s="322">
        <f t="shared" si="6"/>
        <v>-18357084.545916401</v>
      </c>
      <c r="T21" s="322">
        <f t="shared" si="7"/>
        <v>13694330</v>
      </c>
      <c r="U21" s="323">
        <f t="shared" si="8"/>
        <v>0</v>
      </c>
      <c r="V21" s="373">
        <v>-3572445.5906845788</v>
      </c>
      <c r="W21" s="374">
        <v>0</v>
      </c>
      <c r="X21" s="374">
        <v>0</v>
      </c>
      <c r="Y21" s="374">
        <v>-2530473.9517431683</v>
      </c>
      <c r="Z21" s="404">
        <v>0</v>
      </c>
      <c r="AA21" s="404">
        <v>0</v>
      </c>
      <c r="AB21" s="380"/>
      <c r="AC21" s="398">
        <f t="shared" si="9"/>
        <v>-6102919.5424277466</v>
      </c>
      <c r="AD21" s="401">
        <f t="shared" si="10"/>
        <v>-10121884.409315422</v>
      </c>
      <c r="AE21" s="402">
        <f t="shared" si="11"/>
        <v>-2530473.9517431683</v>
      </c>
      <c r="AF21" s="402">
        <f t="shared" si="12"/>
        <v>-7591410.4575722534</v>
      </c>
      <c r="AG21" s="403">
        <f t="shared" si="13"/>
        <v>-8856647.4334438369</v>
      </c>
      <c r="AH21" s="509" t="s">
        <v>1711</v>
      </c>
      <c r="AI21" s="392">
        <v>0.1777</v>
      </c>
      <c r="AJ21" s="405">
        <f t="shared" si="14"/>
        <v>-449665.22122476099</v>
      </c>
      <c r="AK21" s="398">
        <f t="shared" si="15"/>
        <v>-1573826.2489229697</v>
      </c>
    </row>
    <row r="22" spans="1:38" s="318" customFormat="1" ht="22.5">
      <c r="A22" s="325">
        <f t="shared" si="0"/>
        <v>16</v>
      </c>
      <c r="B22" s="506" t="s">
        <v>1536</v>
      </c>
      <c r="C22" s="326" t="s">
        <v>1691</v>
      </c>
      <c r="D22" s="354" t="s">
        <v>1538</v>
      </c>
      <c r="E22" s="393" t="s">
        <v>2011</v>
      </c>
      <c r="F22" s="513">
        <v>43100</v>
      </c>
      <c r="G22" s="394">
        <v>0.35</v>
      </c>
      <c r="H22" s="395">
        <v>5.57E-2</v>
      </c>
      <c r="I22" s="396">
        <v>0</v>
      </c>
      <c r="J22" s="394">
        <v>0.21</v>
      </c>
      <c r="K22" s="395">
        <v>5.57E-2</v>
      </c>
      <c r="L22" s="396">
        <v>0</v>
      </c>
      <c r="M22" s="373">
        <v>3384562.5000000005</v>
      </c>
      <c r="N22" s="374">
        <v>2030737.5000000002</v>
      </c>
      <c r="O22" s="323">
        <f t="shared" si="3"/>
        <v>1353825.0000000002</v>
      </c>
      <c r="P22" s="320">
        <f t="shared" si="4"/>
        <v>0.34048796442881124</v>
      </c>
      <c r="Q22" s="373">
        <v>0</v>
      </c>
      <c r="R22" s="322">
        <f t="shared" si="5"/>
        <v>-460961.11844283552</v>
      </c>
      <c r="S22" s="322">
        <f t="shared" si="6"/>
        <v>1814786.1184428358</v>
      </c>
      <c r="T22" s="322">
        <f t="shared" si="7"/>
        <v>-1353825.0000000002</v>
      </c>
      <c r="U22" s="323">
        <f t="shared" si="8"/>
        <v>0</v>
      </c>
      <c r="V22" s="373">
        <v>353207.69496960565</v>
      </c>
      <c r="W22" s="374">
        <v>250163.39828964436</v>
      </c>
      <c r="X22" s="374">
        <v>0</v>
      </c>
      <c r="Y22" s="374">
        <v>0</v>
      </c>
      <c r="Z22" s="404">
        <v>0</v>
      </c>
      <c r="AA22" s="404">
        <v>0</v>
      </c>
      <c r="AB22" s="380"/>
      <c r="AC22" s="398">
        <f t="shared" si="9"/>
        <v>603371.09325925005</v>
      </c>
      <c r="AD22" s="401">
        <f t="shared" si="10"/>
        <v>1000617.3050303946</v>
      </c>
      <c r="AE22" s="402">
        <f t="shared" si="11"/>
        <v>250163.39828964436</v>
      </c>
      <c r="AF22" s="402">
        <f t="shared" si="12"/>
        <v>750453.90674075019</v>
      </c>
      <c r="AG22" s="403">
        <f t="shared" si="13"/>
        <v>875535.60588557238</v>
      </c>
      <c r="AH22" s="509" t="s">
        <v>1711</v>
      </c>
      <c r="AI22" s="392">
        <v>6.1899999999999997E-2</v>
      </c>
      <c r="AJ22" s="405">
        <f t="shared" si="14"/>
        <v>15485.114354128986</v>
      </c>
      <c r="AK22" s="398">
        <f t="shared" si="15"/>
        <v>54195.65400431693</v>
      </c>
      <c r="AL22" s="327"/>
    </row>
    <row r="23" spans="1:38" s="318" customFormat="1" ht="22.5">
      <c r="A23" s="325">
        <f t="shared" si="0"/>
        <v>17</v>
      </c>
      <c r="B23" s="506" t="s">
        <v>1536</v>
      </c>
      <c r="C23" s="326" t="s">
        <v>1770</v>
      </c>
      <c r="D23" s="354" t="s">
        <v>1538</v>
      </c>
      <c r="E23" s="393" t="s">
        <v>2011</v>
      </c>
      <c r="F23" s="513">
        <v>43100</v>
      </c>
      <c r="G23" s="394">
        <v>0.35</v>
      </c>
      <c r="H23" s="395">
        <v>5.57E-2</v>
      </c>
      <c r="I23" s="396">
        <v>0</v>
      </c>
      <c r="J23" s="394">
        <v>0.21</v>
      </c>
      <c r="K23" s="395">
        <v>5.57E-2</v>
      </c>
      <c r="L23" s="396">
        <v>0</v>
      </c>
      <c r="M23" s="373">
        <v>-321190.00000000006</v>
      </c>
      <c r="N23" s="374">
        <v>-192714.00000000003</v>
      </c>
      <c r="O23" s="323">
        <f t="shared" si="3"/>
        <v>-128476.00000000003</v>
      </c>
      <c r="P23" s="320">
        <f t="shared" si="4"/>
        <v>0.34048796442881124</v>
      </c>
      <c r="Q23" s="373">
        <v>0</v>
      </c>
      <c r="R23" s="322">
        <f t="shared" si="5"/>
        <v>43744.53171795595</v>
      </c>
      <c r="S23" s="322">
        <f t="shared" si="6"/>
        <v>-172220.53171795598</v>
      </c>
      <c r="T23" s="322">
        <f t="shared" si="7"/>
        <v>128476.00000000003</v>
      </c>
      <c r="U23" s="323">
        <f t="shared" si="8"/>
        <v>0</v>
      </c>
      <c r="V23" s="373">
        <v>-33572.244695736459</v>
      </c>
      <c r="W23" s="374">
        <v>0</v>
      </c>
      <c r="X23" s="374">
        <v>0</v>
      </c>
      <c r="Y23" s="374">
        <v>-23740.060434695653</v>
      </c>
      <c r="Z23" s="404">
        <v>0</v>
      </c>
      <c r="AA23" s="404">
        <v>0</v>
      </c>
      <c r="AB23" s="380"/>
      <c r="AC23" s="398">
        <f t="shared" si="9"/>
        <v>-57312.305130432112</v>
      </c>
      <c r="AD23" s="401">
        <f t="shared" si="10"/>
        <v>-94903.75530426357</v>
      </c>
      <c r="AE23" s="402">
        <f t="shared" si="11"/>
        <v>-23740.060434695653</v>
      </c>
      <c r="AF23" s="402">
        <f t="shared" si="12"/>
        <v>-71163.694869567917</v>
      </c>
      <c r="AG23" s="403">
        <f t="shared" si="13"/>
        <v>-83033.725086915743</v>
      </c>
      <c r="AH23" s="509" t="s">
        <v>1711</v>
      </c>
      <c r="AI23" s="392">
        <v>2.93E-2</v>
      </c>
      <c r="AJ23" s="405">
        <f t="shared" si="14"/>
        <v>-695.58377073658266</v>
      </c>
      <c r="AK23" s="398">
        <f t="shared" si="15"/>
        <v>-2432.8881450466311</v>
      </c>
      <c r="AL23" s="327"/>
    </row>
    <row r="24" spans="1:38" s="318" customFormat="1" ht="22.5">
      <c r="A24" s="325">
        <f t="shared" si="0"/>
        <v>18</v>
      </c>
      <c r="B24" s="506" t="s">
        <v>1536</v>
      </c>
      <c r="C24" s="326" t="s">
        <v>1771</v>
      </c>
      <c r="D24" s="354" t="s">
        <v>1538</v>
      </c>
      <c r="E24" s="393" t="s">
        <v>2011</v>
      </c>
      <c r="F24" s="513">
        <v>43100</v>
      </c>
      <c r="G24" s="394">
        <v>0.35</v>
      </c>
      <c r="H24" s="395">
        <v>5.57E-2</v>
      </c>
      <c r="I24" s="396">
        <v>0</v>
      </c>
      <c r="J24" s="394">
        <v>0.21</v>
      </c>
      <c r="K24" s="395">
        <v>5.57E-2</v>
      </c>
      <c r="L24" s="396">
        <v>0</v>
      </c>
      <c r="M24" s="373">
        <v>-680931552.49999988</v>
      </c>
      <c r="N24" s="382">
        <v>-408558931.49999988</v>
      </c>
      <c r="O24" s="323">
        <f t="shared" si="3"/>
        <v>-272372621</v>
      </c>
      <c r="P24" s="320">
        <f>(1/(1-((J24-K24*J24)+K24)))-1</f>
        <v>0.34048796442881124</v>
      </c>
      <c r="Q24" s="373">
        <v>0</v>
      </c>
      <c r="R24" s="322">
        <f>O24-S24</f>
        <v>92739599.290430069</v>
      </c>
      <c r="S24" s="322">
        <f>O24*(1+P24)</f>
        <v>-365112220.29043007</v>
      </c>
      <c r="T24" s="322">
        <f>-O24</f>
        <v>272372621</v>
      </c>
      <c r="U24" s="323">
        <f>-O24-T24</f>
        <v>0</v>
      </c>
      <c r="V24" s="373">
        <v>-73881100.534209043</v>
      </c>
      <c r="W24" s="374">
        <v>0</v>
      </c>
      <c r="X24" s="374">
        <v>0</v>
      </c>
      <c r="Y24" s="374">
        <v>-20437987.578725494</v>
      </c>
      <c r="Z24" s="404">
        <v>0</v>
      </c>
      <c r="AA24" s="404">
        <v>0</v>
      </c>
      <c r="AB24" s="380"/>
      <c r="AC24" s="398">
        <f>SUM(V24:AA24)</f>
        <v>-94319088.11293453</v>
      </c>
      <c r="AD24" s="401">
        <f>O24-V24</f>
        <v>-198491520.46579096</v>
      </c>
      <c r="AE24" s="402">
        <f>SUM(W24:AA24)</f>
        <v>-20437987.578725494</v>
      </c>
      <c r="AF24" s="402">
        <f>AD24-AE24</f>
        <v>-178053532.88706547</v>
      </c>
      <c r="AG24" s="403">
        <f>(AD24+AF24)/2</f>
        <v>-188272526.6764282</v>
      </c>
      <c r="AH24" s="509" t="s">
        <v>1711</v>
      </c>
      <c r="AI24" s="392">
        <v>0</v>
      </c>
      <c r="AJ24" s="405">
        <f>AI24*SUM(W24:AA24)</f>
        <v>0</v>
      </c>
      <c r="AK24" s="398">
        <f>AG24*AI24</f>
        <v>0</v>
      </c>
      <c r="AL24" s="327"/>
    </row>
    <row r="25" spans="1:38" s="318" customFormat="1" ht="11.25">
      <c r="A25" s="325">
        <f t="shared" si="0"/>
        <v>19</v>
      </c>
      <c r="B25" s="506"/>
      <c r="C25" s="326"/>
      <c r="D25" s="354"/>
      <c r="E25" s="355"/>
      <c r="F25" s="356"/>
      <c r="G25" s="357"/>
      <c r="H25" s="320"/>
      <c r="I25" s="358"/>
      <c r="J25" s="357"/>
      <c r="K25" s="320"/>
      <c r="L25" s="358"/>
      <c r="M25" s="321"/>
      <c r="N25" s="322"/>
      <c r="O25" s="323"/>
      <c r="P25" s="320"/>
      <c r="Q25" s="321"/>
      <c r="R25" s="322"/>
      <c r="S25" s="322"/>
      <c r="T25" s="322"/>
      <c r="U25" s="323"/>
      <c r="V25" s="321"/>
      <c r="W25" s="322"/>
      <c r="X25" s="322"/>
      <c r="Y25" s="322"/>
      <c r="Z25" s="380"/>
      <c r="AA25" s="380"/>
      <c r="AB25" s="380"/>
      <c r="AC25" s="398"/>
      <c r="AD25" s="401"/>
      <c r="AE25" s="402"/>
      <c r="AF25" s="402"/>
      <c r="AG25" s="403"/>
      <c r="AH25" s="509"/>
      <c r="AI25" s="511"/>
      <c r="AJ25" s="378"/>
      <c r="AK25" s="398"/>
      <c r="AL25" s="327"/>
    </row>
    <row r="26" spans="1:38" s="318" customFormat="1" ht="11.25">
      <c r="A26" s="325">
        <f t="shared" si="0"/>
        <v>20</v>
      </c>
      <c r="B26" s="507"/>
      <c r="C26" s="360" t="s">
        <v>1542</v>
      </c>
      <c r="D26" s="362"/>
      <c r="E26" s="363"/>
      <c r="F26" s="364"/>
      <c r="G26" s="365"/>
      <c r="H26" s="366"/>
      <c r="I26" s="367"/>
      <c r="J26" s="365"/>
      <c r="K26" s="366"/>
      <c r="L26" s="367"/>
      <c r="M26" s="368">
        <f>SUBTOTAL(9,M18:M25)</f>
        <v>-838997699.99999988</v>
      </c>
      <c r="N26" s="369">
        <f>SUBTOTAL(9,N18:N25)</f>
        <v>-503398619.99999988</v>
      </c>
      <c r="O26" s="370">
        <f>SUBTOTAL(9,O18:O25)</f>
        <v>-335599080</v>
      </c>
      <c r="P26" s="366"/>
      <c r="Q26" s="368">
        <f t="shared" ref="Q26:AA26" si="16">SUBTOTAL(9,Q18:Q25)</f>
        <v>0</v>
      </c>
      <c r="R26" s="369">
        <f t="shared" si="16"/>
        <v>114267447.61338176</v>
      </c>
      <c r="S26" s="369">
        <f t="shared" si="16"/>
        <v>-449866527.61338174</v>
      </c>
      <c r="T26" s="369">
        <f t="shared" si="16"/>
        <v>335599080</v>
      </c>
      <c r="U26" s="370">
        <f t="shared" si="16"/>
        <v>0</v>
      </c>
      <c r="V26" s="368">
        <f t="shared" si="16"/>
        <v>-91276638.60563612</v>
      </c>
      <c r="W26" s="369">
        <f t="shared" si="16"/>
        <v>250163.39828964436</v>
      </c>
      <c r="X26" s="369">
        <f t="shared" si="16"/>
        <v>0</v>
      </c>
      <c r="Y26" s="369">
        <f t="shared" si="16"/>
        <v>-26250468.904657211</v>
      </c>
      <c r="Z26" s="381">
        <f t="shared" si="16"/>
        <v>0</v>
      </c>
      <c r="AA26" s="381">
        <f t="shared" si="16"/>
        <v>0</v>
      </c>
      <c r="AB26" s="381"/>
      <c r="AC26" s="406">
        <f>SUBTOTAL(9,AC18:AC25)</f>
        <v>-117276944.11200368</v>
      </c>
      <c r="AD26" s="407">
        <f>SUBTOTAL(9,AD18:AD25)</f>
        <v>-244322441.39436388</v>
      </c>
      <c r="AE26" s="408">
        <f>SUBTOTAL(9,AE18:AE25)</f>
        <v>-26000305.506367568</v>
      </c>
      <c r="AF26" s="408">
        <f>SUBTOTAL(9,AF18:AF25)</f>
        <v>-218322135.88799635</v>
      </c>
      <c r="AG26" s="409">
        <f>SUBTOTAL(9,AG18:AG25)</f>
        <v>-231322288.6411801</v>
      </c>
      <c r="AH26" s="510"/>
      <c r="AI26" s="512"/>
      <c r="AJ26" s="381">
        <f>SUBTOTAL(9,AJ18:AJ25)</f>
        <v>-3693143.0043952214</v>
      </c>
      <c r="AK26" s="406">
        <f>SUBTOTAL(9,AK18:AK25)</f>
        <v>-36507679.895170413</v>
      </c>
      <c r="AL26" s="327"/>
    </row>
    <row r="27" spans="1:38" s="318" customFormat="1" ht="11.25">
      <c r="A27" s="325">
        <f t="shared" si="0"/>
        <v>21</v>
      </c>
      <c r="B27" s="507"/>
      <c r="C27" s="360"/>
      <c r="D27" s="362"/>
      <c r="E27" s="363"/>
      <c r="F27" s="364"/>
      <c r="G27" s="365"/>
      <c r="H27" s="366"/>
      <c r="I27" s="367"/>
      <c r="J27" s="365"/>
      <c r="K27" s="366"/>
      <c r="L27" s="367"/>
      <c r="M27" s="368"/>
      <c r="N27" s="369"/>
      <c r="O27" s="370"/>
      <c r="P27" s="366"/>
      <c r="Q27" s="368"/>
      <c r="R27" s="369"/>
      <c r="S27" s="369"/>
      <c r="T27" s="369"/>
      <c r="U27" s="370"/>
      <c r="V27" s="368"/>
      <c r="W27" s="369"/>
      <c r="X27" s="369"/>
      <c r="Y27" s="369"/>
      <c r="Z27" s="381"/>
      <c r="AA27" s="381"/>
      <c r="AB27" s="381"/>
      <c r="AC27" s="406"/>
      <c r="AD27" s="407"/>
      <c r="AE27" s="408"/>
      <c r="AF27" s="408"/>
      <c r="AG27" s="409"/>
      <c r="AH27" s="510"/>
      <c r="AI27" s="512"/>
      <c r="AJ27" s="381"/>
      <c r="AK27" s="406"/>
      <c r="AL27" s="327"/>
    </row>
    <row r="28" spans="1:38" s="318" customFormat="1" ht="11.25">
      <c r="A28" s="325">
        <f t="shared" si="0"/>
        <v>22</v>
      </c>
      <c r="B28" s="507"/>
      <c r="C28" s="360" t="s">
        <v>1687</v>
      </c>
      <c r="D28" s="362"/>
      <c r="E28" s="363"/>
      <c r="F28" s="364"/>
      <c r="G28" s="365"/>
      <c r="H28" s="366"/>
      <c r="I28" s="367"/>
      <c r="J28" s="365"/>
      <c r="K28" s="366"/>
      <c r="L28" s="367"/>
      <c r="M28" s="368"/>
      <c r="N28" s="369"/>
      <c r="O28" s="370"/>
      <c r="P28" s="366"/>
      <c r="Q28" s="368"/>
      <c r="R28" s="369"/>
      <c r="S28" s="369"/>
      <c r="T28" s="369"/>
      <c r="U28" s="370"/>
      <c r="V28" s="368"/>
      <c r="W28" s="369"/>
      <c r="X28" s="369"/>
      <c r="Y28" s="369"/>
      <c r="Z28" s="381"/>
      <c r="AA28" s="381"/>
      <c r="AB28" s="381"/>
      <c r="AC28" s="406"/>
      <c r="AD28" s="407"/>
      <c r="AE28" s="408"/>
      <c r="AF28" s="408"/>
      <c r="AG28" s="409"/>
      <c r="AH28" s="510"/>
      <c r="AI28" s="512"/>
      <c r="AJ28" s="381"/>
      <c r="AK28" s="406"/>
      <c r="AL28" s="327"/>
    </row>
    <row r="29" spans="1:38" s="324" customFormat="1" ht="22.5">
      <c r="A29" s="325">
        <f t="shared" si="0"/>
        <v>23</v>
      </c>
      <c r="B29" s="506" t="s">
        <v>1536</v>
      </c>
      <c r="C29" s="326" t="s">
        <v>1688</v>
      </c>
      <c r="D29" s="354" t="s">
        <v>1541</v>
      </c>
      <c r="E29" s="393" t="s">
        <v>2012</v>
      </c>
      <c r="F29" s="513">
        <v>43100</v>
      </c>
      <c r="G29" s="394">
        <v>0.35</v>
      </c>
      <c r="H29" s="395">
        <v>5.57E-2</v>
      </c>
      <c r="I29" s="396">
        <v>0</v>
      </c>
      <c r="J29" s="394">
        <v>0.21</v>
      </c>
      <c r="K29" s="395">
        <v>5.57E-2</v>
      </c>
      <c r="L29" s="396">
        <v>0</v>
      </c>
      <c r="M29" s="373">
        <v>-25303974.999999996</v>
      </c>
      <c r="N29" s="374">
        <v>-15182384.999999996</v>
      </c>
      <c r="O29" s="323">
        <f>M29-N29</f>
        <v>-10121590</v>
      </c>
      <c r="P29" s="320">
        <f>(1/(1-((J29-K29*J29)+K29)))-1</f>
        <v>0.34048796442881124</v>
      </c>
      <c r="Q29" s="373">
        <v>0</v>
      </c>
      <c r="R29" s="322">
        <f>O29-S29</f>
        <v>3446279.5758830123</v>
      </c>
      <c r="S29" s="322">
        <f>O29*(1+P29)</f>
        <v>-13567869.575883012</v>
      </c>
      <c r="T29" s="322">
        <f>-O29</f>
        <v>10121590</v>
      </c>
      <c r="U29" s="323">
        <f>-O29-T29</f>
        <v>0</v>
      </c>
      <c r="V29" s="373">
        <v>-2857728.7271262109</v>
      </c>
      <c r="W29" s="374">
        <v>0</v>
      </c>
      <c r="X29" s="374">
        <v>0</v>
      </c>
      <c r="Y29" s="374">
        <v>-452599.83462234365</v>
      </c>
      <c r="Z29" s="404">
        <v>0</v>
      </c>
      <c r="AA29" s="404">
        <v>0</v>
      </c>
      <c r="AB29" s="380"/>
      <c r="AC29" s="398">
        <f>SUM(V29:AA29)</f>
        <v>-3310328.5617485545</v>
      </c>
      <c r="AD29" s="401">
        <f>O29-V29</f>
        <v>-7263861.2728737891</v>
      </c>
      <c r="AE29" s="402">
        <f>SUM(W29:AA29)</f>
        <v>-452599.83462234365</v>
      </c>
      <c r="AF29" s="402">
        <f>AD29-AE29</f>
        <v>-6811261.4382514451</v>
      </c>
      <c r="AG29" s="403">
        <f>(AD29+AF29)/2</f>
        <v>-7037561.3555626171</v>
      </c>
      <c r="AH29" s="509" t="s">
        <v>1711</v>
      </c>
      <c r="AI29" s="392">
        <v>6.2199999999999998E-2</v>
      </c>
      <c r="AJ29" s="405">
        <f>AI29*SUM(W29:AA29)</f>
        <v>-28151.709713509776</v>
      </c>
      <c r="AK29" s="398">
        <f>AG29*AI29</f>
        <v>-437736.31631599477</v>
      </c>
    </row>
    <row r="30" spans="1:38" s="324" customFormat="1" ht="22.5">
      <c r="A30" s="325">
        <f t="shared" si="0"/>
        <v>24</v>
      </c>
      <c r="B30" s="506" t="s">
        <v>1536</v>
      </c>
      <c r="C30" s="326" t="s">
        <v>1689</v>
      </c>
      <c r="D30" s="354" t="s">
        <v>1541</v>
      </c>
      <c r="E30" s="393" t="s">
        <v>2012</v>
      </c>
      <c r="F30" s="513">
        <v>43100</v>
      </c>
      <c r="G30" s="394">
        <v>0.35</v>
      </c>
      <c r="H30" s="395">
        <v>5.57E-2</v>
      </c>
      <c r="I30" s="396">
        <v>0</v>
      </c>
      <c r="J30" s="394">
        <v>0.21</v>
      </c>
      <c r="K30" s="395">
        <v>5.57E-2</v>
      </c>
      <c r="L30" s="396">
        <v>0</v>
      </c>
      <c r="M30" s="373">
        <v>5702729.9999999991</v>
      </c>
      <c r="N30" s="374">
        <v>3421637.9999999995</v>
      </c>
      <c r="O30" s="323">
        <f>M30-N30</f>
        <v>2281091.9999999995</v>
      </c>
      <c r="P30" s="320">
        <f>(1/(1-((J30-K30*J30)+K30)))-1</f>
        <v>0.34048796442881124</v>
      </c>
      <c r="Q30" s="373">
        <v>0</v>
      </c>
      <c r="R30" s="322">
        <f>O30-S30</f>
        <v>-776684.3717548456</v>
      </c>
      <c r="S30" s="322">
        <f>O30*(1+P30)</f>
        <v>3057776.3717548451</v>
      </c>
      <c r="T30" s="322">
        <f>-O30</f>
        <v>-2281091.9999999995</v>
      </c>
      <c r="U30" s="323">
        <f>-O30-T30</f>
        <v>0</v>
      </c>
      <c r="V30" s="373">
        <v>644044.02303416049</v>
      </c>
      <c r="W30" s="374">
        <v>102001.92985328955</v>
      </c>
      <c r="X30" s="374">
        <v>0</v>
      </c>
      <c r="Y30" s="374">
        <v>0</v>
      </c>
      <c r="Z30" s="404">
        <v>0</v>
      </c>
      <c r="AA30" s="404">
        <v>0</v>
      </c>
      <c r="AB30" s="380"/>
      <c r="AC30" s="398">
        <f>SUM(V30:AA30)</f>
        <v>746045.95288745</v>
      </c>
      <c r="AD30" s="401">
        <f>O30-V30</f>
        <v>1637047.976965839</v>
      </c>
      <c r="AE30" s="402">
        <f>SUM(W30:AA30)</f>
        <v>102001.92985328955</v>
      </c>
      <c r="AF30" s="402">
        <f>AD30-AE30</f>
        <v>1535046.0471125494</v>
      </c>
      <c r="AG30" s="403">
        <f>(AD30+AF30)/2</f>
        <v>1586047.0120391943</v>
      </c>
      <c r="AH30" s="509" t="s">
        <v>1711</v>
      </c>
      <c r="AI30" s="392">
        <v>1</v>
      </c>
      <c r="AJ30" s="405">
        <f>AI30*SUM(W30:AA30)</f>
        <v>102001.92985328955</v>
      </c>
      <c r="AK30" s="398">
        <f>AG30*AI30</f>
        <v>1586047.0120391943</v>
      </c>
    </row>
    <row r="31" spans="1:38" s="324" customFormat="1" ht="11.25">
      <c r="A31" s="325">
        <f t="shared" si="0"/>
        <v>25</v>
      </c>
      <c r="B31" s="507"/>
      <c r="C31" s="360"/>
      <c r="D31" s="362"/>
      <c r="E31" s="363"/>
      <c r="F31" s="356"/>
      <c r="G31" s="357"/>
      <c r="H31" s="320"/>
      <c r="I31" s="358"/>
      <c r="J31" s="357"/>
      <c r="K31" s="320"/>
      <c r="L31" s="358"/>
      <c r="M31" s="321"/>
      <c r="N31" s="322"/>
      <c r="O31" s="323"/>
      <c r="P31" s="320"/>
      <c r="Q31" s="321"/>
      <c r="R31" s="322"/>
      <c r="S31" s="322"/>
      <c r="T31" s="322"/>
      <c r="U31" s="323"/>
      <c r="V31" s="321"/>
      <c r="W31" s="322"/>
      <c r="X31" s="322"/>
      <c r="Y31" s="322"/>
      <c r="Z31" s="380"/>
      <c r="AA31" s="380"/>
      <c r="AB31" s="380"/>
      <c r="AC31" s="398"/>
      <c r="AD31" s="401"/>
      <c r="AE31" s="402"/>
      <c r="AF31" s="402"/>
      <c r="AG31" s="403"/>
      <c r="AH31" s="509"/>
      <c r="AI31" s="511"/>
      <c r="AJ31" s="378"/>
      <c r="AK31" s="398"/>
    </row>
    <row r="32" spans="1:38" s="324" customFormat="1" ht="11.25">
      <c r="A32" s="325">
        <f t="shared" si="0"/>
        <v>26</v>
      </c>
      <c r="B32" s="507"/>
      <c r="C32" s="360"/>
      <c r="D32" s="362"/>
      <c r="E32" s="363"/>
      <c r="F32" s="356"/>
      <c r="G32" s="357"/>
      <c r="H32" s="320"/>
      <c r="I32" s="358"/>
      <c r="J32" s="357"/>
      <c r="K32" s="320"/>
      <c r="L32" s="358"/>
      <c r="M32" s="368">
        <f>SUBTOTAL(9,M28:M31)</f>
        <v>-19601244.999999996</v>
      </c>
      <c r="N32" s="369">
        <f>SUBTOTAL(9,N28:N31)</f>
        <v>-11760746.999999996</v>
      </c>
      <c r="O32" s="370">
        <f>SUBTOTAL(9,O28:O31)</f>
        <v>-7840498</v>
      </c>
      <c r="P32" s="366"/>
      <c r="Q32" s="368">
        <f t="shared" ref="Q32:AA32" si="17">SUBTOTAL(9,Q28:Q31)</f>
        <v>0</v>
      </c>
      <c r="R32" s="369">
        <f t="shared" si="17"/>
        <v>2669595.2041281667</v>
      </c>
      <c r="S32" s="369">
        <f t="shared" si="17"/>
        <v>-10510093.204128167</v>
      </c>
      <c r="T32" s="369">
        <f t="shared" si="17"/>
        <v>7840498</v>
      </c>
      <c r="U32" s="370">
        <f t="shared" si="17"/>
        <v>0</v>
      </c>
      <c r="V32" s="368">
        <f t="shared" si="17"/>
        <v>-2213684.7040920504</v>
      </c>
      <c r="W32" s="369">
        <f t="shared" si="17"/>
        <v>102001.92985328955</v>
      </c>
      <c r="X32" s="369">
        <f t="shared" si="17"/>
        <v>0</v>
      </c>
      <c r="Y32" s="369">
        <f t="shared" si="17"/>
        <v>-452599.83462234365</v>
      </c>
      <c r="Z32" s="381">
        <f t="shared" si="17"/>
        <v>0</v>
      </c>
      <c r="AA32" s="381">
        <f t="shared" si="17"/>
        <v>0</v>
      </c>
      <c r="AB32" s="381"/>
      <c r="AC32" s="406">
        <f>SUBTOTAL(9,AC28:AC31)</f>
        <v>-2564282.6088611046</v>
      </c>
      <c r="AD32" s="407">
        <f>SUBTOTAL(9,AD28:AD31)</f>
        <v>-5626813.29590795</v>
      </c>
      <c r="AE32" s="408">
        <f>SUBTOTAL(9,AE28:AE31)</f>
        <v>-350597.90476905409</v>
      </c>
      <c r="AF32" s="408">
        <f>SUBTOTAL(9,AF28:AF31)</f>
        <v>-5276215.3911388954</v>
      </c>
      <c r="AG32" s="409">
        <f>SUBTOTAL(9,AG28:AG31)</f>
        <v>-5451514.3435234223</v>
      </c>
      <c r="AH32" s="510"/>
      <c r="AI32" s="512"/>
      <c r="AJ32" s="381">
        <f>SUBTOTAL(9,AJ28:AJ31)</f>
        <v>73850.220139779776</v>
      </c>
      <c r="AK32" s="406">
        <f>SUBTOTAL(9,AK28:AK31)</f>
        <v>1148310.6957231995</v>
      </c>
    </row>
    <row r="33" spans="1:38" s="324" customFormat="1" ht="11.25">
      <c r="A33" s="325">
        <f t="shared" si="0"/>
        <v>27</v>
      </c>
      <c r="B33" s="506"/>
      <c r="C33" s="326"/>
      <c r="D33" s="354"/>
      <c r="E33" s="355"/>
      <c r="F33" s="356"/>
      <c r="G33" s="357"/>
      <c r="H33" s="320"/>
      <c r="I33" s="358"/>
      <c r="J33" s="357"/>
      <c r="K33" s="320"/>
      <c r="L33" s="358"/>
      <c r="M33" s="368"/>
      <c r="N33" s="369"/>
      <c r="O33" s="323"/>
      <c r="P33" s="320"/>
      <c r="Q33" s="321"/>
      <c r="R33" s="322"/>
      <c r="S33" s="322"/>
      <c r="T33" s="322"/>
      <c r="U33" s="323"/>
      <c r="V33" s="368"/>
      <c r="W33" s="369"/>
      <c r="X33" s="369"/>
      <c r="Y33" s="369"/>
      <c r="Z33" s="381"/>
      <c r="AA33" s="381"/>
      <c r="AB33" s="380"/>
      <c r="AC33" s="398"/>
      <c r="AD33" s="401"/>
      <c r="AE33" s="402"/>
      <c r="AF33" s="402"/>
      <c r="AG33" s="403"/>
      <c r="AH33" s="509"/>
      <c r="AI33" s="511"/>
      <c r="AJ33" s="405"/>
      <c r="AK33" s="398"/>
    </row>
    <row r="34" spans="1:38" s="324" customFormat="1" ht="11.25">
      <c r="A34" s="325">
        <f t="shared" si="0"/>
        <v>28</v>
      </c>
      <c r="B34" s="506"/>
      <c r="C34" s="360" t="s">
        <v>1543</v>
      </c>
      <c r="D34" s="354"/>
      <c r="E34" s="355"/>
      <c r="F34" s="356"/>
      <c r="G34" s="357"/>
      <c r="H34" s="320"/>
      <c r="I34" s="358"/>
      <c r="J34" s="357"/>
      <c r="K34" s="320"/>
      <c r="L34" s="358"/>
      <c r="M34" s="321"/>
      <c r="N34" s="322"/>
      <c r="O34" s="323"/>
      <c r="P34" s="320"/>
      <c r="Q34" s="321"/>
      <c r="R34" s="322"/>
      <c r="S34" s="322"/>
      <c r="T34" s="322"/>
      <c r="U34" s="323"/>
      <c r="V34" s="321"/>
      <c r="W34" s="322"/>
      <c r="X34" s="322"/>
      <c r="Y34" s="322"/>
      <c r="Z34" s="380"/>
      <c r="AA34" s="380"/>
      <c r="AB34" s="380"/>
      <c r="AC34" s="398"/>
      <c r="AD34" s="401"/>
      <c r="AE34" s="402"/>
      <c r="AF34" s="402"/>
      <c r="AG34" s="403"/>
      <c r="AH34" s="509"/>
      <c r="AI34" s="511"/>
      <c r="AJ34" s="380"/>
      <c r="AK34" s="398"/>
    </row>
    <row r="35" spans="1:38" s="324" customFormat="1" ht="22.5">
      <c r="A35" s="325">
        <f t="shared" si="0"/>
        <v>29</v>
      </c>
      <c r="B35" s="506" t="s">
        <v>1536</v>
      </c>
      <c r="C35" s="326" t="s">
        <v>1690</v>
      </c>
      <c r="D35" s="354" t="s">
        <v>1538</v>
      </c>
      <c r="E35" s="393" t="s">
        <v>2011</v>
      </c>
      <c r="F35" s="513">
        <v>43100</v>
      </c>
      <c r="G35" s="394">
        <v>0.35</v>
      </c>
      <c r="H35" s="395">
        <v>5.57E-2</v>
      </c>
      <c r="I35" s="396">
        <v>0</v>
      </c>
      <c r="J35" s="394">
        <v>0.21</v>
      </c>
      <c r="K35" s="395">
        <v>5.57E-2</v>
      </c>
      <c r="L35" s="396">
        <v>0</v>
      </c>
      <c r="M35" s="373">
        <v>-7390354.9999999981</v>
      </c>
      <c r="N35" s="374">
        <v>-4434212.9999999991</v>
      </c>
      <c r="O35" s="323">
        <f>M35-N35</f>
        <v>-2956141.9999999991</v>
      </c>
      <c r="P35" s="320">
        <f>(1/(1-((J35-K35*J35)+K35)))-1</f>
        <v>0.34048796442881124</v>
      </c>
      <c r="Q35" s="373">
        <v>0</v>
      </c>
      <c r="R35" s="322">
        <f>O35-S35</f>
        <v>1006530.7721425146</v>
      </c>
      <c r="S35" s="322">
        <f>O35*(1+P35)</f>
        <v>-3962672.7721425137</v>
      </c>
      <c r="T35" s="374">
        <v>0</v>
      </c>
      <c r="U35" s="323">
        <f>-O35-T35</f>
        <v>2956141.9999999991</v>
      </c>
      <c r="V35" s="373">
        <v>-771155.93780431116</v>
      </c>
      <c r="W35" s="374">
        <v>0</v>
      </c>
      <c r="X35" s="374">
        <v>0</v>
      </c>
      <c r="Y35" s="374">
        <v>-546243.63043478248</v>
      </c>
      <c r="Z35" s="404">
        <v>0</v>
      </c>
      <c r="AA35" s="404">
        <v>0</v>
      </c>
      <c r="AB35" s="380"/>
      <c r="AC35" s="398">
        <f>SUM(V35:AA35)</f>
        <v>-1317399.5682390938</v>
      </c>
      <c r="AD35" s="401">
        <f>O35-V35</f>
        <v>-2184986.062195688</v>
      </c>
      <c r="AE35" s="402">
        <f>SUM(W35:AA35)</f>
        <v>-546243.63043478248</v>
      </c>
      <c r="AF35" s="402">
        <f>AD35-AE35</f>
        <v>-1638742.4317609055</v>
      </c>
      <c r="AG35" s="403">
        <f>(AD35+AF35)/2</f>
        <v>-1911864.2469782969</v>
      </c>
      <c r="AH35" s="509" t="s">
        <v>1711</v>
      </c>
      <c r="AI35" s="392">
        <v>0.1777</v>
      </c>
      <c r="AJ35" s="405">
        <f>AI35*SUM(W35:AA35)</f>
        <v>-97067.493128260845</v>
      </c>
      <c r="AK35" s="398">
        <f>AG35*AI35</f>
        <v>-339738.27668804338</v>
      </c>
    </row>
    <row r="36" spans="1:38" s="318" customFormat="1" ht="22.5">
      <c r="A36" s="325">
        <f t="shared" si="0"/>
        <v>30</v>
      </c>
      <c r="B36" s="506"/>
      <c r="C36" s="326" t="s">
        <v>1691</v>
      </c>
      <c r="D36" s="354" t="s">
        <v>1538</v>
      </c>
      <c r="E36" s="393" t="s">
        <v>2011</v>
      </c>
      <c r="F36" s="513">
        <v>43100</v>
      </c>
      <c r="G36" s="394">
        <v>0.35</v>
      </c>
      <c r="H36" s="395">
        <v>5.57E-2</v>
      </c>
      <c r="I36" s="396">
        <v>0</v>
      </c>
      <c r="J36" s="394">
        <v>0.21</v>
      </c>
      <c r="K36" s="395">
        <v>5.57E-2</v>
      </c>
      <c r="L36" s="396">
        <v>0</v>
      </c>
      <c r="M36" s="373">
        <v>-1416094.9999999998</v>
      </c>
      <c r="N36" s="374">
        <v>-849656.99999999988</v>
      </c>
      <c r="O36" s="323">
        <f>M36-N36</f>
        <v>-566437.99999999988</v>
      </c>
      <c r="P36" s="320">
        <f>(1/(1-((J36-K36*J36)+K36)))-1</f>
        <v>0.34048796442881124</v>
      </c>
      <c r="Q36" s="373">
        <v>0</v>
      </c>
      <c r="R36" s="322">
        <f>O36-S36</f>
        <v>192865.321595127</v>
      </c>
      <c r="S36" s="322">
        <f>O36*(1+P36)</f>
        <v>-759303.32159512688</v>
      </c>
      <c r="T36" s="374">
        <v>0</v>
      </c>
      <c r="U36" s="323">
        <f>-O36-T36</f>
        <v>566437.99999999988</v>
      </c>
      <c r="V36" s="373">
        <v>-147729.5361902086</v>
      </c>
      <c r="W36" s="374">
        <v>0</v>
      </c>
      <c r="X36" s="374">
        <v>0</v>
      </c>
      <c r="Y36" s="374">
        <v>-104667.97630434783</v>
      </c>
      <c r="Z36" s="404">
        <v>0</v>
      </c>
      <c r="AA36" s="404">
        <v>0</v>
      </c>
      <c r="AB36" s="380"/>
      <c r="AC36" s="398">
        <f>SUM(V36:AA36)</f>
        <v>-252397.51249455643</v>
      </c>
      <c r="AD36" s="401">
        <f>O36-V36</f>
        <v>-418708.46380979125</v>
      </c>
      <c r="AE36" s="402">
        <f>SUM(W36:AA36)</f>
        <v>-104667.97630434783</v>
      </c>
      <c r="AF36" s="402">
        <f>AD36-AE36</f>
        <v>-314040.48750544339</v>
      </c>
      <c r="AG36" s="403">
        <f>(AD36+AF36)/2</f>
        <v>-366374.47565761732</v>
      </c>
      <c r="AH36" s="509" t="s">
        <v>1711</v>
      </c>
      <c r="AI36" s="392">
        <v>6.1899999999999997E-2</v>
      </c>
      <c r="AJ36" s="405">
        <f>AI36*SUM(W36:AA36)</f>
        <v>-6478.9477332391307</v>
      </c>
      <c r="AK36" s="398">
        <f>AG36*AI36</f>
        <v>-22678.580043206512</v>
      </c>
      <c r="AL36" s="327"/>
    </row>
    <row r="37" spans="1:38" s="324" customFormat="1" ht="22.5">
      <c r="A37" s="325">
        <f t="shared" si="0"/>
        <v>31</v>
      </c>
      <c r="B37" s="506"/>
      <c r="C37" s="326" t="s">
        <v>1692</v>
      </c>
      <c r="D37" s="354" t="s">
        <v>1538</v>
      </c>
      <c r="E37" s="393" t="s">
        <v>2011</v>
      </c>
      <c r="F37" s="513">
        <v>43100</v>
      </c>
      <c r="G37" s="394">
        <v>0.35</v>
      </c>
      <c r="H37" s="395">
        <v>5.57E-2</v>
      </c>
      <c r="I37" s="396">
        <v>0</v>
      </c>
      <c r="J37" s="394">
        <v>0.21</v>
      </c>
      <c r="K37" s="395">
        <v>5.57E-2</v>
      </c>
      <c r="L37" s="396">
        <v>0</v>
      </c>
      <c r="M37" s="373">
        <v>-3217742.5</v>
      </c>
      <c r="N37" s="374">
        <v>-1930645.5</v>
      </c>
      <c r="O37" s="323">
        <f>M37-N37</f>
        <v>-1287097</v>
      </c>
      <c r="P37" s="320">
        <f>(1/(1-((J37-K37*J37)+K37)))-1</f>
        <v>0.34048796442881124</v>
      </c>
      <c r="Q37" s="373">
        <v>0</v>
      </c>
      <c r="R37" s="322">
        <f>O37-S37</f>
        <v>438241.0375524296</v>
      </c>
      <c r="S37" s="322">
        <f>O37*(1+P37)</f>
        <v>-1725338.0375524296</v>
      </c>
      <c r="T37" s="374">
        <v>0</v>
      </c>
      <c r="U37" s="323">
        <f>-O37-T37</f>
        <v>1287097</v>
      </c>
      <c r="V37" s="373">
        <v>-335751.6981578549</v>
      </c>
      <c r="W37" s="374">
        <v>0</v>
      </c>
      <c r="X37" s="374">
        <v>0</v>
      </c>
      <c r="Y37" s="374">
        <v>-237833.21891304344</v>
      </c>
      <c r="Z37" s="404">
        <v>0</v>
      </c>
      <c r="AA37" s="404">
        <v>0</v>
      </c>
      <c r="AB37" s="380"/>
      <c r="AC37" s="398">
        <f>SUM(V37:AA37)</f>
        <v>-573584.91707089834</v>
      </c>
      <c r="AD37" s="401">
        <f>O37-V37</f>
        <v>-951345.30184214516</v>
      </c>
      <c r="AE37" s="402">
        <f>SUM(W37:AA37)</f>
        <v>-237833.21891304344</v>
      </c>
      <c r="AF37" s="402">
        <f>AD37-AE37</f>
        <v>-713512.08292910177</v>
      </c>
      <c r="AG37" s="403">
        <f>(AD37+AF37)/2</f>
        <v>-832428.69238562346</v>
      </c>
      <c r="AH37" s="509" t="s">
        <v>1711</v>
      </c>
      <c r="AI37" s="392">
        <v>8.6099999999999996E-2</v>
      </c>
      <c r="AJ37" s="405">
        <f>AI37*SUM(W37:AA37)</f>
        <v>-20477.440148413039</v>
      </c>
      <c r="AK37" s="398">
        <f>AG37*AI37</f>
        <v>-71672.110414402181</v>
      </c>
    </row>
    <row r="38" spans="1:38" s="324" customFormat="1" ht="22.5">
      <c r="A38" s="325">
        <f t="shared" si="0"/>
        <v>32</v>
      </c>
      <c r="B38" s="506"/>
      <c r="C38" s="326" t="s">
        <v>1693</v>
      </c>
      <c r="D38" s="354" t="s">
        <v>1538</v>
      </c>
      <c r="E38" s="393" t="s">
        <v>2011</v>
      </c>
      <c r="F38" s="513">
        <v>43100</v>
      </c>
      <c r="G38" s="394">
        <v>0.35</v>
      </c>
      <c r="H38" s="395">
        <v>5.57E-2</v>
      </c>
      <c r="I38" s="396">
        <v>0</v>
      </c>
      <c r="J38" s="394">
        <v>0.21</v>
      </c>
      <c r="K38" s="395">
        <v>5.57E-2</v>
      </c>
      <c r="L38" s="396">
        <v>0</v>
      </c>
      <c r="M38" s="373">
        <v>-67100597</v>
      </c>
      <c r="N38" s="374">
        <v>-40260358</v>
      </c>
      <c r="O38" s="323">
        <f>M38-N38</f>
        <v>-26840239</v>
      </c>
      <c r="P38" s="320">
        <f>(1/(1-((J38-K38*J38)+K38)))-1</f>
        <v>0.34048796442881124</v>
      </c>
      <c r="Q38" s="373">
        <v>0</v>
      </c>
      <c r="R38" s="322">
        <f>O38-S38</f>
        <v>9138778.3418927938</v>
      </c>
      <c r="S38" s="322">
        <f>O38*(1+P38)</f>
        <v>-35979017.341892794</v>
      </c>
      <c r="T38" s="374">
        <v>0</v>
      </c>
      <c r="U38" s="323">
        <f>-O38-T38</f>
        <v>26840239</v>
      </c>
      <c r="V38" s="373">
        <v>-6580822.4782608701</v>
      </c>
      <c r="W38" s="374">
        <v>0</v>
      </c>
      <c r="X38" s="374">
        <v>0</v>
      </c>
      <c r="Y38" s="374">
        <v>-6710059.75</v>
      </c>
      <c r="Z38" s="404">
        <v>0</v>
      </c>
      <c r="AA38" s="404">
        <v>0</v>
      </c>
      <c r="AB38" s="380"/>
      <c r="AC38" s="398">
        <f>SUM(V38:AA38)</f>
        <v>-13290882.228260871</v>
      </c>
      <c r="AD38" s="401">
        <f>O38-V38</f>
        <v>-20259416.521739129</v>
      </c>
      <c r="AE38" s="402">
        <f>SUM(W38:AA38)</f>
        <v>-6710059.75</v>
      </c>
      <c r="AF38" s="402">
        <f>AD38-AE38</f>
        <v>-13549356.771739129</v>
      </c>
      <c r="AG38" s="403">
        <f>(AD38+AF38)/2</f>
        <v>-16904386.646739129</v>
      </c>
      <c r="AH38" s="509" t="s">
        <v>1711</v>
      </c>
      <c r="AI38" s="392">
        <v>0</v>
      </c>
      <c r="AJ38" s="405">
        <f>AI38*SUM(W38:AA38)</f>
        <v>0</v>
      </c>
      <c r="AK38" s="398">
        <f>AG38*AI38</f>
        <v>0</v>
      </c>
    </row>
    <row r="39" spans="1:38" s="324" customFormat="1" ht="11.25">
      <c r="A39" s="325">
        <f t="shared" si="0"/>
        <v>33</v>
      </c>
      <c r="B39" s="506"/>
      <c r="C39" s="326"/>
      <c r="D39" s="354"/>
      <c r="E39" s="355"/>
      <c r="F39" s="356"/>
      <c r="G39" s="357"/>
      <c r="H39" s="320"/>
      <c r="I39" s="358"/>
      <c r="J39" s="357"/>
      <c r="K39" s="320"/>
      <c r="L39" s="358"/>
      <c r="M39" s="321"/>
      <c r="N39" s="322"/>
      <c r="O39" s="323"/>
      <c r="P39" s="320"/>
      <c r="Q39" s="321"/>
      <c r="R39" s="322"/>
      <c r="S39" s="322"/>
      <c r="T39" s="322"/>
      <c r="U39" s="323"/>
      <c r="V39" s="321"/>
      <c r="W39" s="322"/>
      <c r="X39" s="322"/>
      <c r="Y39" s="322"/>
      <c r="Z39" s="380"/>
      <c r="AA39" s="380"/>
      <c r="AB39" s="380"/>
      <c r="AC39" s="398"/>
      <c r="AD39" s="401"/>
      <c r="AE39" s="402"/>
      <c r="AF39" s="402"/>
      <c r="AG39" s="403"/>
      <c r="AH39" s="509"/>
      <c r="AI39" s="511"/>
      <c r="AJ39" s="380"/>
      <c r="AK39" s="398"/>
    </row>
    <row r="40" spans="1:38" s="324" customFormat="1" ht="11.25">
      <c r="A40" s="325">
        <f t="shared" si="0"/>
        <v>34</v>
      </c>
      <c r="B40" s="507"/>
      <c r="C40" s="360" t="s">
        <v>1544</v>
      </c>
      <c r="D40" s="362"/>
      <c r="E40" s="363"/>
      <c r="F40" s="364"/>
      <c r="G40" s="365"/>
      <c r="H40" s="366"/>
      <c r="I40" s="367"/>
      <c r="J40" s="365"/>
      <c r="K40" s="366"/>
      <c r="L40" s="367"/>
      <c r="M40" s="368">
        <f>SUBTOTAL(9,M34:M39)</f>
        <v>-79124789.5</v>
      </c>
      <c r="N40" s="369">
        <f>SUBTOTAL(9,N34:N39)</f>
        <v>-47474873.5</v>
      </c>
      <c r="O40" s="370">
        <f>SUBTOTAL(9,O34:O39)</f>
        <v>-31649916</v>
      </c>
      <c r="P40" s="366"/>
      <c r="Q40" s="368">
        <f t="shared" ref="Q40:AA40" si="18">SUBTOTAL(9,Q34:Q39)</f>
        <v>0</v>
      </c>
      <c r="R40" s="369">
        <f t="shared" si="18"/>
        <v>10776415.473182864</v>
      </c>
      <c r="S40" s="369">
        <f t="shared" si="18"/>
        <v>-42426331.473182864</v>
      </c>
      <c r="T40" s="369">
        <f t="shared" si="18"/>
        <v>0</v>
      </c>
      <c r="U40" s="370">
        <f t="shared" si="18"/>
        <v>31649916</v>
      </c>
      <c r="V40" s="368">
        <f t="shared" si="18"/>
        <v>-7835459.650413245</v>
      </c>
      <c r="W40" s="369">
        <f t="shared" si="18"/>
        <v>0</v>
      </c>
      <c r="X40" s="369">
        <f t="shared" si="18"/>
        <v>0</v>
      </c>
      <c r="Y40" s="369">
        <f t="shared" si="18"/>
        <v>-7598804.5756521737</v>
      </c>
      <c r="Z40" s="381">
        <f t="shared" si="18"/>
        <v>0</v>
      </c>
      <c r="AA40" s="381">
        <f t="shared" si="18"/>
        <v>0</v>
      </c>
      <c r="AB40" s="381"/>
      <c r="AC40" s="406">
        <f>SUBTOTAL(9,AC34:AC39)</f>
        <v>-15434264.22606542</v>
      </c>
      <c r="AD40" s="407">
        <f>SUBTOTAL(9,AD34:AD39)</f>
        <v>-23814456.349586755</v>
      </c>
      <c r="AE40" s="408">
        <f>SUBTOTAL(9,AE34:AE39)</f>
        <v>-7598804.5756521737</v>
      </c>
      <c r="AF40" s="408">
        <f>SUBTOTAL(9,AF34:AF39)</f>
        <v>-16215651.77393458</v>
      </c>
      <c r="AG40" s="409">
        <f>SUBTOTAL(9,AG34:AG39)</f>
        <v>-20015054.061760668</v>
      </c>
      <c r="AH40" s="510"/>
      <c r="AI40" s="512"/>
      <c r="AJ40" s="381">
        <f>SUBTOTAL(9,AJ34:AJ39)</f>
        <v>-124023.88100991301</v>
      </c>
      <c r="AK40" s="406">
        <f>SUBTOTAL(9,AK34:AK39)</f>
        <v>-434088.96714565204</v>
      </c>
    </row>
    <row r="41" spans="1:38" s="324" customFormat="1" ht="11.25">
      <c r="A41" s="325">
        <f t="shared" si="0"/>
        <v>35</v>
      </c>
      <c r="B41" s="359"/>
      <c r="C41" s="326"/>
      <c r="D41" s="354"/>
      <c r="E41" s="355"/>
      <c r="F41" s="356"/>
      <c r="G41" s="357"/>
      <c r="H41" s="320"/>
      <c r="I41" s="358"/>
      <c r="J41" s="357"/>
      <c r="K41" s="320"/>
      <c r="L41" s="358"/>
      <c r="M41" s="321"/>
      <c r="N41" s="322"/>
      <c r="O41" s="323"/>
      <c r="P41" s="320"/>
      <c r="Q41" s="321"/>
      <c r="R41" s="322"/>
      <c r="S41" s="322"/>
      <c r="T41" s="322"/>
      <c r="U41" s="323"/>
      <c r="V41" s="321"/>
      <c r="W41" s="322"/>
      <c r="X41" s="322"/>
      <c r="Y41" s="322"/>
      <c r="Z41" s="380"/>
      <c r="AA41" s="380"/>
      <c r="AB41" s="380"/>
      <c r="AC41" s="398"/>
      <c r="AD41" s="401"/>
      <c r="AE41" s="402"/>
      <c r="AF41" s="402"/>
      <c r="AG41" s="403"/>
      <c r="AH41" s="509"/>
      <c r="AI41" s="511"/>
      <c r="AJ41" s="378"/>
      <c r="AK41" s="410"/>
    </row>
    <row r="42" spans="1:38" s="324" customFormat="1" ht="22.5">
      <c r="A42" s="325">
        <f t="shared" si="0"/>
        <v>36</v>
      </c>
      <c r="B42" s="361" t="s">
        <v>1545</v>
      </c>
      <c r="C42" s="360"/>
      <c r="D42" s="362"/>
      <c r="E42" s="363"/>
      <c r="F42" s="364"/>
      <c r="G42" s="365"/>
      <c r="H42" s="366"/>
      <c r="I42" s="367"/>
      <c r="J42" s="365"/>
      <c r="K42" s="366"/>
      <c r="L42" s="367"/>
      <c r="M42" s="368">
        <f>SUBTOTAL(9,M7:M41)</f>
        <v>-793309761.99999988</v>
      </c>
      <c r="N42" s="369">
        <f>SUBTOTAL(9,N7:N41)</f>
        <v>-475985856.99999988</v>
      </c>
      <c r="O42" s="370">
        <f>SUBTOTAL(9,O7:O41)</f>
        <v>-317323905</v>
      </c>
      <c r="P42" s="366"/>
      <c r="Q42" s="368">
        <f t="shared" ref="Q42:AA42" si="19">SUBTOTAL(9,Q7:Q41)</f>
        <v>77434076.812641323</v>
      </c>
      <c r="R42" s="369">
        <f t="shared" si="19"/>
        <v>69947869.290692791</v>
      </c>
      <c r="S42" s="369">
        <f t="shared" si="19"/>
        <v>-502802952.29069281</v>
      </c>
      <c r="T42" s="369">
        <f t="shared" si="19"/>
        <v>343439578</v>
      </c>
      <c r="U42" s="370">
        <f t="shared" si="19"/>
        <v>11981428.18735867</v>
      </c>
      <c r="V42" s="368">
        <f t="shared" si="19"/>
        <v>-86256529.49864769</v>
      </c>
      <c r="W42" s="369">
        <f t="shared" si="19"/>
        <v>19995378.922658145</v>
      </c>
      <c r="X42" s="369">
        <f t="shared" si="19"/>
        <v>0</v>
      </c>
      <c r="Y42" s="369">
        <f t="shared" si="19"/>
        <v>-40745094.167105637</v>
      </c>
      <c r="Z42" s="381">
        <f t="shared" si="19"/>
        <v>0</v>
      </c>
      <c r="AA42" s="381">
        <f t="shared" si="19"/>
        <v>0</v>
      </c>
      <c r="AB42" s="381"/>
      <c r="AC42" s="406">
        <f>SUBTOTAL(9,AC7:AC41)</f>
        <v>-107006244.74309516</v>
      </c>
      <c r="AD42" s="407">
        <f>SUBTOTAL(9,AD7:AD41)</f>
        <v>-231067375.50135231</v>
      </c>
      <c r="AE42" s="408">
        <f>SUBTOTAL(9,AE7:AE41)</f>
        <v>-20749715.244447492</v>
      </c>
      <c r="AF42" s="408">
        <f>SUBTOTAL(9,AF7:AF41)</f>
        <v>-210317660.25690481</v>
      </c>
      <c r="AG42" s="409">
        <f>SUBTOTAL(9,AG7:AG41)</f>
        <v>-220692517.87912855</v>
      </c>
      <c r="AH42" s="510" t="s">
        <v>1778</v>
      </c>
      <c r="AI42" s="512">
        <f>AK42/AG42</f>
        <v>0.14044166529301383</v>
      </c>
      <c r="AJ42" s="381">
        <f>SUBTOTAL(9,AJ7:AJ41)</f>
        <v>-2372164.5943106818</v>
      </c>
      <c r="AK42" s="406">
        <f>SUBTOTAL(9,AK7:AK41)</f>
        <v>-30994424.728653044</v>
      </c>
    </row>
    <row r="43" spans="1:38" s="324" customFormat="1" ht="11.25">
      <c r="A43" s="325">
        <f t="shared" si="0"/>
        <v>37</v>
      </c>
      <c r="B43" s="359"/>
      <c r="C43" s="326"/>
      <c r="D43" s="354"/>
      <c r="E43" s="355"/>
      <c r="F43" s="356"/>
      <c r="G43" s="357"/>
      <c r="H43" s="320"/>
      <c r="I43" s="358"/>
      <c r="J43" s="357"/>
      <c r="K43" s="320"/>
      <c r="L43" s="358"/>
      <c r="M43" s="321"/>
      <c r="N43" s="322"/>
      <c r="O43" s="323"/>
      <c r="P43" s="320"/>
      <c r="Q43" s="321"/>
      <c r="R43" s="322"/>
      <c r="S43" s="322"/>
      <c r="T43" s="322"/>
      <c r="U43" s="323"/>
      <c r="V43" s="321"/>
      <c r="W43" s="322"/>
      <c r="X43" s="322"/>
      <c r="Y43" s="322"/>
      <c r="Z43" s="380"/>
      <c r="AA43" s="380"/>
      <c r="AB43" s="380"/>
      <c r="AC43" s="398"/>
      <c r="AD43" s="401"/>
      <c r="AE43" s="402"/>
      <c r="AF43" s="402"/>
      <c r="AG43" s="403"/>
      <c r="AH43" s="509"/>
      <c r="AI43" s="511"/>
      <c r="AJ43" s="378"/>
      <c r="AK43" s="410"/>
    </row>
    <row r="44" spans="1:38" s="324" customFormat="1" ht="11.25">
      <c r="A44" s="325">
        <f t="shared" si="0"/>
        <v>38</v>
      </c>
      <c r="B44" s="359"/>
      <c r="C44" s="326"/>
      <c r="D44" s="354"/>
      <c r="E44" s="355"/>
      <c r="F44" s="356"/>
      <c r="G44" s="357"/>
      <c r="H44" s="320"/>
      <c r="I44" s="358"/>
      <c r="J44" s="357"/>
      <c r="K44" s="320"/>
      <c r="L44" s="358"/>
      <c r="M44" s="321"/>
      <c r="N44" s="322"/>
      <c r="O44" s="323"/>
      <c r="P44" s="320"/>
      <c r="Q44" s="321"/>
      <c r="R44" s="322"/>
      <c r="S44" s="322"/>
      <c r="T44" s="322"/>
      <c r="U44" s="323"/>
      <c r="V44" s="321"/>
      <c r="W44" s="322"/>
      <c r="X44" s="322"/>
      <c r="Y44" s="322"/>
      <c r="Z44" s="380"/>
      <c r="AA44" s="380"/>
      <c r="AB44" s="380"/>
      <c r="AC44" s="398"/>
      <c r="AD44" s="401"/>
      <c r="AE44" s="402"/>
      <c r="AF44" s="402"/>
      <c r="AG44" s="403"/>
      <c r="AH44" s="509"/>
      <c r="AI44" s="511"/>
      <c r="AJ44" s="378"/>
      <c r="AK44" s="410"/>
    </row>
    <row r="45" spans="1:38" s="324" customFormat="1" ht="11.25">
      <c r="A45" s="325">
        <f t="shared" si="0"/>
        <v>39</v>
      </c>
      <c r="B45" s="574" t="str">
        <f>UPPER("New Mexico 2017 Phased-In Rate Change")</f>
        <v>NEW MEXICO 2017 PHASED-IN RATE CHANGE</v>
      </c>
      <c r="C45" s="326"/>
      <c r="D45" s="354"/>
      <c r="E45" s="355"/>
      <c r="F45" s="356"/>
      <c r="G45" s="357"/>
      <c r="H45" s="320"/>
      <c r="I45" s="358"/>
      <c r="J45" s="357"/>
      <c r="K45" s="320"/>
      <c r="L45" s="358"/>
      <c r="O45" s="323"/>
      <c r="P45" s="320"/>
      <c r="Q45" s="321"/>
      <c r="R45" s="322"/>
      <c r="S45" s="322"/>
      <c r="T45" s="322"/>
      <c r="U45" s="323"/>
      <c r="V45" s="321"/>
      <c r="W45" s="322"/>
      <c r="X45" s="322"/>
      <c r="Y45" s="322"/>
      <c r="Z45" s="380"/>
      <c r="AA45" s="380"/>
      <c r="AB45" s="380"/>
      <c r="AC45" s="398"/>
      <c r="AD45" s="386"/>
      <c r="AE45" s="386"/>
      <c r="AF45" s="386"/>
      <c r="AG45" s="403"/>
      <c r="AH45" s="509"/>
      <c r="AI45" s="511"/>
      <c r="AJ45" s="380"/>
      <c r="AK45" s="398"/>
    </row>
    <row r="46" spans="1:38" s="324" customFormat="1" ht="11.25">
      <c r="A46" s="325">
        <f t="shared" si="0"/>
        <v>40</v>
      </c>
      <c r="B46" s="359"/>
      <c r="C46" s="326"/>
      <c r="D46" s="354"/>
      <c r="E46" s="355"/>
      <c r="F46" s="356"/>
      <c r="G46" s="357"/>
      <c r="H46" s="320"/>
      <c r="I46" s="358"/>
      <c r="J46" s="357"/>
      <c r="K46" s="320"/>
      <c r="L46" s="358"/>
      <c r="M46" s="321"/>
      <c r="N46" s="322"/>
      <c r="O46" s="323"/>
      <c r="P46" s="320"/>
      <c r="Q46" s="321"/>
      <c r="R46" s="322"/>
      <c r="S46" s="322"/>
      <c r="T46" s="322"/>
      <c r="U46" s="323"/>
      <c r="V46" s="321"/>
      <c r="W46" s="322"/>
      <c r="X46" s="322"/>
      <c r="Y46" s="322"/>
      <c r="Z46" s="380"/>
      <c r="AA46" s="380"/>
      <c r="AB46" s="380"/>
      <c r="AC46" s="398"/>
      <c r="AD46" s="401"/>
      <c r="AE46" s="402"/>
      <c r="AF46" s="402"/>
      <c r="AG46" s="403"/>
      <c r="AH46" s="509"/>
      <c r="AI46" s="511"/>
      <c r="AJ46" s="378"/>
      <c r="AK46" s="410"/>
    </row>
    <row r="47" spans="1:38" s="324" customFormat="1" ht="11.25">
      <c r="A47" s="325">
        <f t="shared" si="0"/>
        <v>41</v>
      </c>
      <c r="B47" s="359"/>
      <c r="C47" s="360" t="s">
        <v>1535</v>
      </c>
      <c r="D47" s="354"/>
      <c r="E47" s="355"/>
      <c r="F47" s="356"/>
      <c r="G47" s="357"/>
      <c r="H47" s="320"/>
      <c r="I47" s="358"/>
      <c r="J47" s="357"/>
      <c r="K47" s="320"/>
      <c r="L47" s="358"/>
      <c r="M47" s="321"/>
      <c r="N47" s="322"/>
      <c r="O47" s="323"/>
      <c r="P47" s="320"/>
      <c r="Q47" s="321"/>
      <c r="R47" s="322"/>
      <c r="S47" s="322"/>
      <c r="T47" s="322"/>
      <c r="U47" s="323"/>
      <c r="V47" s="321"/>
      <c r="W47" s="322"/>
      <c r="X47" s="322"/>
      <c r="Y47" s="322"/>
      <c r="Z47" s="380"/>
      <c r="AA47" s="380"/>
      <c r="AB47" s="380"/>
      <c r="AC47" s="398"/>
      <c r="AD47" s="401"/>
      <c r="AE47" s="402"/>
      <c r="AF47" s="402"/>
      <c r="AG47" s="403"/>
      <c r="AH47" s="509"/>
      <c r="AI47" s="511"/>
      <c r="AJ47" s="378"/>
      <c r="AK47" s="410"/>
    </row>
    <row r="48" spans="1:38" s="324" customFormat="1" ht="22.5">
      <c r="A48" s="325">
        <f t="shared" si="0"/>
        <v>42</v>
      </c>
      <c r="B48" s="506" t="s">
        <v>1546</v>
      </c>
      <c r="C48" s="326" t="s">
        <v>1588</v>
      </c>
      <c r="D48" s="354" t="s">
        <v>1538</v>
      </c>
      <c r="E48" s="393" t="s">
        <v>2013</v>
      </c>
      <c r="F48" s="513">
        <v>43100</v>
      </c>
      <c r="G48" s="394">
        <v>0.21</v>
      </c>
      <c r="H48" s="395">
        <v>7.0599999999999996E-2</v>
      </c>
      <c r="I48" s="396">
        <v>0</v>
      </c>
      <c r="J48" s="394">
        <v>0.21</v>
      </c>
      <c r="K48" s="395">
        <v>5.57E-2</v>
      </c>
      <c r="L48" s="396">
        <v>0</v>
      </c>
      <c r="M48" s="373">
        <v>21306060.463595212</v>
      </c>
      <c r="N48" s="374">
        <v>17504834.438586626</v>
      </c>
      <c r="O48" s="323">
        <f>M48-N48</f>
        <v>3801226.0250085853</v>
      </c>
      <c r="P48" s="320">
        <f>(1/(1-((J48-K48*J48)+K48)))-1</f>
        <v>0.34048796442881124</v>
      </c>
      <c r="Q48" s="321">
        <f>O48*(1+P48)</f>
        <v>5095497.7365975799</v>
      </c>
      <c r="R48" s="322">
        <f>-O48</f>
        <v>-3801226.0250085853</v>
      </c>
      <c r="S48" s="374">
        <v>0</v>
      </c>
      <c r="T48" s="374">
        <v>0</v>
      </c>
      <c r="U48" s="323">
        <f>-SUM(Q48:T48)</f>
        <v>-1294271.7115889946</v>
      </c>
      <c r="V48" s="373">
        <v>3801226</v>
      </c>
      <c r="W48" s="374">
        <v>0</v>
      </c>
      <c r="X48" s="374">
        <v>0</v>
      </c>
      <c r="Y48" s="374">
        <v>0</v>
      </c>
      <c r="Z48" s="404">
        <v>0</v>
      </c>
      <c r="AA48" s="404">
        <v>0</v>
      </c>
      <c r="AB48" s="380"/>
      <c r="AC48" s="398">
        <f>SUM(V48:AA48)</f>
        <v>3801226</v>
      </c>
      <c r="AD48" s="401">
        <f>O48-V48</f>
        <v>2.5008585304021835E-2</v>
      </c>
      <c r="AE48" s="402">
        <f>AD48</f>
        <v>2.5008585304021835E-2</v>
      </c>
      <c r="AF48" s="402">
        <f>AD48-AE48</f>
        <v>0</v>
      </c>
      <c r="AG48" s="403">
        <f>(AD48+AF48)/2</f>
        <v>1.2504292652010918E-2</v>
      </c>
      <c r="AH48" s="509" t="s">
        <v>1711</v>
      </c>
      <c r="AI48" s="392">
        <v>0.14089776501395318</v>
      </c>
      <c r="AJ48" s="405">
        <f>AI48*SUM(W48:AA48)</f>
        <v>0</v>
      </c>
      <c r="AK48" s="398">
        <f>AG48*AI48</f>
        <v>1.7618268877487356E-3</v>
      </c>
    </row>
    <row r="49" spans="1:39" s="324" customFormat="1" ht="11.25">
      <c r="A49" s="325">
        <f t="shared" si="0"/>
        <v>43</v>
      </c>
      <c r="B49" s="506"/>
      <c r="C49" s="326"/>
      <c r="D49" s="354"/>
      <c r="E49" s="355"/>
      <c r="F49" s="356"/>
      <c r="G49" s="357"/>
      <c r="H49" s="320"/>
      <c r="I49" s="358"/>
      <c r="J49" s="357"/>
      <c r="K49" s="320"/>
      <c r="L49" s="358"/>
      <c r="M49" s="321"/>
      <c r="N49" s="322"/>
      <c r="O49" s="323"/>
      <c r="P49" s="320"/>
      <c r="Q49" s="321"/>
      <c r="R49" s="322"/>
      <c r="S49" s="322"/>
      <c r="T49" s="322"/>
      <c r="U49" s="323"/>
      <c r="V49" s="321"/>
      <c r="W49" s="322"/>
      <c r="X49" s="322"/>
      <c r="Y49" s="322"/>
      <c r="Z49" s="380"/>
      <c r="AA49" s="380"/>
      <c r="AB49" s="380"/>
      <c r="AC49" s="398"/>
      <c r="AD49" s="401"/>
      <c r="AE49" s="402"/>
      <c r="AF49" s="402"/>
      <c r="AG49" s="411"/>
      <c r="AH49" s="509"/>
      <c r="AI49" s="511"/>
      <c r="AJ49" s="405"/>
      <c r="AK49" s="398"/>
    </row>
    <row r="50" spans="1:39" s="324" customFormat="1" ht="11.25">
      <c r="A50" s="325">
        <f t="shared" si="0"/>
        <v>44</v>
      </c>
      <c r="B50" s="507"/>
      <c r="C50" s="360" t="s">
        <v>1539</v>
      </c>
      <c r="D50" s="362"/>
      <c r="E50" s="363"/>
      <c r="F50" s="364"/>
      <c r="G50" s="365"/>
      <c r="H50" s="366"/>
      <c r="I50" s="367"/>
      <c r="J50" s="365"/>
      <c r="K50" s="366"/>
      <c r="L50" s="367"/>
      <c r="M50" s="368">
        <f>SUM(M47:M49)</f>
        <v>21306060.463595212</v>
      </c>
      <c r="N50" s="369">
        <f>SUM(N47:N49)</f>
        <v>17504834.438586626</v>
      </c>
      <c r="O50" s="370">
        <f>SUM(O47:O49)</f>
        <v>3801226.0250085853</v>
      </c>
      <c r="P50" s="366"/>
      <c r="Q50" s="368">
        <f>SUM(Q48:Q49)</f>
        <v>5095497.7365975799</v>
      </c>
      <c r="R50" s="369">
        <f t="shared" ref="R50:AA50" si="20">SUM(R48:R49)</f>
        <v>-3801226.0250085853</v>
      </c>
      <c r="S50" s="369">
        <f t="shared" si="20"/>
        <v>0</v>
      </c>
      <c r="T50" s="369">
        <f t="shared" si="20"/>
        <v>0</v>
      </c>
      <c r="U50" s="370">
        <f t="shared" si="20"/>
        <v>-1294271.7115889946</v>
      </c>
      <c r="V50" s="368">
        <f t="shared" si="20"/>
        <v>3801226</v>
      </c>
      <c r="W50" s="369">
        <f t="shared" si="20"/>
        <v>0</v>
      </c>
      <c r="X50" s="369">
        <f t="shared" si="20"/>
        <v>0</v>
      </c>
      <c r="Y50" s="369">
        <f t="shared" si="20"/>
        <v>0</v>
      </c>
      <c r="Z50" s="381">
        <f t="shared" si="20"/>
        <v>0</v>
      </c>
      <c r="AA50" s="381">
        <f t="shared" si="20"/>
        <v>0</v>
      </c>
      <c r="AB50" s="381"/>
      <c r="AC50" s="406">
        <f>SUM(V50:AA50)</f>
        <v>3801226</v>
      </c>
      <c r="AD50" s="407">
        <f>SUBTOTAL(9,AD48:AD49)</f>
        <v>2.5008585304021835E-2</v>
      </c>
      <c r="AE50" s="412">
        <f>SUBTOTAL(9,AE48:AE49)</f>
        <v>2.5008585304021835E-2</v>
      </c>
      <c r="AF50" s="412">
        <f>SUBTOTAL(9,AF48:AF49)</f>
        <v>0</v>
      </c>
      <c r="AG50" s="413">
        <f>SUBTOTAL(9,AG48:AG49)</f>
        <v>1.2504292652010918E-2</v>
      </c>
      <c r="AH50" s="510"/>
      <c r="AI50" s="512"/>
      <c r="AJ50" s="381">
        <f>SUBTOTAL(9,AJ48:AJ48)</f>
        <v>0</v>
      </c>
      <c r="AK50" s="406">
        <f>SUBTOTAL(9,AK48:AK48)</f>
        <v>1.7618268877487356E-3</v>
      </c>
    </row>
    <row r="51" spans="1:39" s="324" customFormat="1" ht="11.25">
      <c r="A51" s="325">
        <f t="shared" si="0"/>
        <v>45</v>
      </c>
      <c r="B51" s="506"/>
      <c r="C51" s="326"/>
      <c r="D51" s="354"/>
      <c r="E51" s="355"/>
      <c r="F51" s="356"/>
      <c r="G51" s="357"/>
      <c r="H51" s="320"/>
      <c r="I51" s="358"/>
      <c r="J51" s="357"/>
      <c r="K51" s="320"/>
      <c r="L51" s="358"/>
      <c r="M51" s="321"/>
      <c r="N51" s="322"/>
      <c r="O51" s="323"/>
      <c r="P51" s="320"/>
      <c r="Q51" s="321"/>
      <c r="R51" s="322"/>
      <c r="S51" s="322"/>
      <c r="T51" s="322"/>
      <c r="U51" s="323"/>
      <c r="V51" s="321"/>
      <c r="W51" s="322"/>
      <c r="X51" s="322"/>
      <c r="Y51" s="322"/>
      <c r="Z51" s="380"/>
      <c r="AA51" s="380"/>
      <c r="AB51" s="380"/>
      <c r="AC51" s="398"/>
      <c r="AD51" s="401"/>
      <c r="AE51" s="402"/>
      <c r="AF51" s="402"/>
      <c r="AG51" s="411"/>
      <c r="AH51" s="509"/>
      <c r="AI51" s="511"/>
      <c r="AJ51" s="378"/>
      <c r="AK51" s="410"/>
      <c r="AL51" s="318"/>
      <c r="AM51" s="318"/>
    </row>
    <row r="52" spans="1:39" s="324" customFormat="1" ht="11.25">
      <c r="A52" s="325">
        <f t="shared" si="0"/>
        <v>46</v>
      </c>
      <c r="B52" s="506"/>
      <c r="C52" s="360" t="s">
        <v>1540</v>
      </c>
      <c r="D52" s="354"/>
      <c r="E52" s="355"/>
      <c r="F52" s="356"/>
      <c r="G52" s="357"/>
      <c r="H52" s="320"/>
      <c r="I52" s="358"/>
      <c r="J52" s="357"/>
      <c r="K52" s="320"/>
      <c r="L52" s="358"/>
      <c r="M52" s="321"/>
      <c r="N52" s="322"/>
      <c r="O52" s="323"/>
      <c r="P52" s="320"/>
      <c r="Q52" s="321"/>
      <c r="R52" s="322"/>
      <c r="S52" s="322"/>
      <c r="T52" s="322"/>
      <c r="U52" s="323"/>
      <c r="V52" s="321"/>
      <c r="W52" s="322"/>
      <c r="X52" s="322"/>
      <c r="Y52" s="322"/>
      <c r="Z52" s="380"/>
      <c r="AA52" s="380"/>
      <c r="AB52" s="380"/>
      <c r="AC52" s="398"/>
      <c r="AD52" s="401"/>
      <c r="AE52" s="402"/>
      <c r="AF52" s="402"/>
      <c r="AG52" s="411"/>
      <c r="AH52" s="509"/>
      <c r="AI52" s="511"/>
      <c r="AJ52" s="378"/>
      <c r="AK52" s="410"/>
    </row>
    <row r="53" spans="1:39" s="324" customFormat="1" ht="22.5">
      <c r="A53" s="325">
        <f t="shared" si="0"/>
        <v>47</v>
      </c>
      <c r="B53" s="506" t="s">
        <v>1546</v>
      </c>
      <c r="C53" s="326" t="s">
        <v>1537</v>
      </c>
      <c r="D53" s="354" t="s">
        <v>1538</v>
      </c>
      <c r="E53" s="393" t="s">
        <v>2013</v>
      </c>
      <c r="F53" s="513">
        <v>43100</v>
      </c>
      <c r="G53" s="394">
        <v>0.21</v>
      </c>
      <c r="H53" s="395">
        <v>7.0599999999999996E-2</v>
      </c>
      <c r="I53" s="396">
        <v>0</v>
      </c>
      <c r="J53" s="394">
        <v>0.21</v>
      </c>
      <c r="K53" s="395">
        <v>5.57E-2</v>
      </c>
      <c r="L53" s="396">
        <v>0</v>
      </c>
      <c r="M53" s="373">
        <v>-128643407.32592112</v>
      </c>
      <c r="N53" s="374">
        <v>-105692065.912589</v>
      </c>
      <c r="O53" s="323">
        <f>M53-N53</f>
        <v>-22951341.41333212</v>
      </c>
      <c r="P53" s="320">
        <f>(1/(1-((J53-K53*J53)+K53)))-1</f>
        <v>0.34048796442881124</v>
      </c>
      <c r="Q53" s="373">
        <v>0</v>
      </c>
      <c r="R53" s="322">
        <f>O53-S53</f>
        <v>7814655.5187361278</v>
      </c>
      <c r="S53" s="322">
        <f>O53*(1+P53)</f>
        <v>-30765996.932068247</v>
      </c>
      <c r="T53" s="322">
        <f>-O53</f>
        <v>22951341.41333212</v>
      </c>
      <c r="U53" s="323">
        <f>-O53-T53</f>
        <v>0</v>
      </c>
      <c r="V53" s="373">
        <v>-22951341</v>
      </c>
      <c r="W53" s="374">
        <v>0</v>
      </c>
      <c r="X53" s="374">
        <v>0</v>
      </c>
      <c r="Y53" s="374">
        <v>0</v>
      </c>
      <c r="Z53" s="404">
        <v>0</v>
      </c>
      <c r="AA53" s="404">
        <v>0</v>
      </c>
      <c r="AB53" s="380"/>
      <c r="AC53" s="398">
        <f>SUM(V53:AA53)</f>
        <v>-22951341</v>
      </c>
      <c r="AD53" s="401">
        <f>O53-V53</f>
        <v>-0.41333211958408356</v>
      </c>
      <c r="AE53" s="402">
        <f>AD53</f>
        <v>-0.41333211958408356</v>
      </c>
      <c r="AF53" s="402">
        <f>AD53-AE53</f>
        <v>0</v>
      </c>
      <c r="AG53" s="403">
        <f>(AD53+AF53)/2</f>
        <v>-0.20666605979204178</v>
      </c>
      <c r="AH53" s="509" t="s">
        <v>1711</v>
      </c>
      <c r="AI53" s="392">
        <v>0.14089776501395318</v>
      </c>
      <c r="AJ53" s="405">
        <f>AI53*SUM(W53:AA53)</f>
        <v>0</v>
      </c>
      <c r="AK53" s="398">
        <f>AG53*AI53</f>
        <v>-2.9118785928938701E-2</v>
      </c>
    </row>
    <row r="54" spans="1:39" s="324" customFormat="1" ht="11.25">
      <c r="A54" s="325">
        <f t="shared" si="0"/>
        <v>48</v>
      </c>
      <c r="B54" s="506"/>
      <c r="C54" s="326"/>
      <c r="D54" s="354"/>
      <c r="E54" s="355"/>
      <c r="F54" s="356"/>
      <c r="G54" s="357"/>
      <c r="H54" s="320"/>
      <c r="I54" s="358"/>
      <c r="J54" s="357"/>
      <c r="K54" s="320"/>
      <c r="L54" s="358"/>
      <c r="M54" s="321"/>
      <c r="N54" s="322"/>
      <c r="O54" s="323"/>
      <c r="P54" s="320"/>
      <c r="Q54" s="321"/>
      <c r="R54" s="322"/>
      <c r="S54" s="322"/>
      <c r="T54" s="322"/>
      <c r="U54" s="323"/>
      <c r="V54" s="321"/>
      <c r="W54" s="322"/>
      <c r="X54" s="322"/>
      <c r="Y54" s="322"/>
      <c r="Z54" s="380"/>
      <c r="AA54" s="380"/>
      <c r="AB54" s="380"/>
      <c r="AC54" s="398"/>
      <c r="AD54" s="401"/>
      <c r="AE54" s="402"/>
      <c r="AF54" s="402"/>
      <c r="AG54" s="403"/>
      <c r="AH54" s="509"/>
      <c r="AI54" s="511"/>
      <c r="AJ54" s="405"/>
      <c r="AK54" s="398"/>
    </row>
    <row r="55" spans="1:39" s="324" customFormat="1" ht="11.25">
      <c r="A55" s="325">
        <f t="shared" si="0"/>
        <v>49</v>
      </c>
      <c r="B55" s="507"/>
      <c r="C55" s="360" t="s">
        <v>1542</v>
      </c>
      <c r="D55" s="362"/>
      <c r="E55" s="363"/>
      <c r="F55" s="364"/>
      <c r="G55" s="365"/>
      <c r="H55" s="366"/>
      <c r="I55" s="367"/>
      <c r="J55" s="365"/>
      <c r="K55" s="366"/>
      <c r="L55" s="367"/>
      <c r="M55" s="368">
        <f>SUBTOTAL(9,M52:M54)</f>
        <v>-128643407.32592112</v>
      </c>
      <c r="N55" s="369">
        <f>SUBTOTAL(9,N52:N54)</f>
        <v>-105692065.912589</v>
      </c>
      <c r="O55" s="370">
        <f>SUBTOTAL(9,O52:O54)</f>
        <v>-22951341.41333212</v>
      </c>
      <c r="P55" s="366"/>
      <c r="Q55" s="368">
        <f>SUM(Q53:Q54)</f>
        <v>0</v>
      </c>
      <c r="R55" s="369">
        <f t="shared" ref="R55:AA55" si="21">SUM(R53:R54)</f>
        <v>7814655.5187361278</v>
      </c>
      <c r="S55" s="369">
        <f t="shared" si="21"/>
        <v>-30765996.932068247</v>
      </c>
      <c r="T55" s="369">
        <f t="shared" si="21"/>
        <v>22951341.41333212</v>
      </c>
      <c r="U55" s="370">
        <f t="shared" si="21"/>
        <v>0</v>
      </c>
      <c r="V55" s="368">
        <f t="shared" si="21"/>
        <v>-22951341</v>
      </c>
      <c r="W55" s="369">
        <f t="shared" si="21"/>
        <v>0</v>
      </c>
      <c r="X55" s="369">
        <f t="shared" si="21"/>
        <v>0</v>
      </c>
      <c r="Y55" s="369">
        <f t="shared" si="21"/>
        <v>0</v>
      </c>
      <c r="Z55" s="381">
        <f t="shared" si="21"/>
        <v>0</v>
      </c>
      <c r="AA55" s="381">
        <f t="shared" si="21"/>
        <v>0</v>
      </c>
      <c r="AB55" s="381"/>
      <c r="AC55" s="406">
        <f>SUM(V55:AA55)</f>
        <v>-22951341</v>
      </c>
      <c r="AD55" s="408">
        <f>SUBTOTAL(9,AD52:AD54)</f>
        <v>-0.41333211958408356</v>
      </c>
      <c r="AE55" s="408">
        <f>SUBTOTAL(9,AE52:AE54)</f>
        <v>-0.41333211958408356</v>
      </c>
      <c r="AF55" s="408">
        <f>SUBTOTAL(9,AF52:AF54)</f>
        <v>0</v>
      </c>
      <c r="AG55" s="409">
        <f>SUBTOTAL(9,AG52:AG54)</f>
        <v>-0.20666605979204178</v>
      </c>
      <c r="AH55" s="510"/>
      <c r="AI55" s="512"/>
      <c r="AJ55" s="381">
        <f>SUBTOTAL(9,AJ53:AJ53)</f>
        <v>0</v>
      </c>
      <c r="AK55" s="406">
        <f>SUBTOTAL(9,AK53:AK53)</f>
        <v>-2.9118785928938701E-2</v>
      </c>
    </row>
    <row r="56" spans="1:39" s="324" customFormat="1" ht="11.25">
      <c r="A56" s="325">
        <f t="shared" si="0"/>
        <v>50</v>
      </c>
      <c r="B56" s="506"/>
      <c r="C56" s="326"/>
      <c r="D56" s="354"/>
      <c r="E56" s="355"/>
      <c r="F56" s="356"/>
      <c r="G56" s="357"/>
      <c r="H56" s="320"/>
      <c r="I56" s="358"/>
      <c r="J56" s="357"/>
      <c r="K56" s="320"/>
      <c r="L56" s="358"/>
      <c r="M56" s="321"/>
      <c r="N56" s="322"/>
      <c r="O56" s="323"/>
      <c r="P56" s="320"/>
      <c r="Q56" s="321"/>
      <c r="R56" s="322"/>
      <c r="S56" s="322"/>
      <c r="T56" s="322"/>
      <c r="U56" s="323"/>
      <c r="V56" s="321"/>
      <c r="W56" s="322"/>
      <c r="X56" s="322"/>
      <c r="Y56" s="322"/>
      <c r="Z56" s="380"/>
      <c r="AA56" s="380"/>
      <c r="AB56" s="380"/>
      <c r="AC56" s="398"/>
      <c r="AD56" s="401"/>
      <c r="AE56" s="402"/>
      <c r="AF56" s="402"/>
      <c r="AG56" s="403"/>
      <c r="AH56" s="509"/>
      <c r="AI56" s="511"/>
      <c r="AJ56" s="378"/>
      <c r="AK56" s="410"/>
      <c r="AL56" s="318"/>
      <c r="AM56" s="318"/>
    </row>
    <row r="57" spans="1:39" s="324" customFormat="1" ht="11.25">
      <c r="A57" s="325">
        <f t="shared" si="0"/>
        <v>51</v>
      </c>
      <c r="B57" s="506"/>
      <c r="C57" s="360" t="s">
        <v>1543</v>
      </c>
      <c r="D57" s="354"/>
      <c r="E57" s="355"/>
      <c r="F57" s="356"/>
      <c r="G57" s="357"/>
      <c r="H57" s="320"/>
      <c r="I57" s="358"/>
      <c r="J57" s="357"/>
      <c r="K57" s="320"/>
      <c r="L57" s="358"/>
      <c r="M57" s="321"/>
      <c r="N57" s="322"/>
      <c r="O57" s="323"/>
      <c r="P57" s="320"/>
      <c r="Q57" s="321"/>
      <c r="R57" s="322"/>
      <c r="S57" s="322"/>
      <c r="T57" s="322"/>
      <c r="U57" s="323"/>
      <c r="V57" s="321"/>
      <c r="W57" s="322"/>
      <c r="X57" s="322"/>
      <c r="Y57" s="322"/>
      <c r="Z57" s="380"/>
      <c r="AA57" s="380"/>
      <c r="AB57" s="380"/>
      <c r="AC57" s="398"/>
      <c r="AD57" s="401"/>
      <c r="AE57" s="402"/>
      <c r="AF57" s="402"/>
      <c r="AG57" s="403"/>
      <c r="AH57" s="509"/>
      <c r="AI57" s="511"/>
      <c r="AJ57" s="378"/>
      <c r="AK57" s="410"/>
    </row>
    <row r="58" spans="1:39" s="324" customFormat="1" ht="22.5">
      <c r="A58" s="325">
        <f t="shared" si="0"/>
        <v>52</v>
      </c>
      <c r="B58" s="506" t="s">
        <v>1546</v>
      </c>
      <c r="C58" s="326" t="s">
        <v>1537</v>
      </c>
      <c r="D58" s="354" t="s">
        <v>1538</v>
      </c>
      <c r="E58" s="393" t="s">
        <v>2013</v>
      </c>
      <c r="F58" s="513">
        <v>43100</v>
      </c>
      <c r="G58" s="394">
        <v>0.21</v>
      </c>
      <c r="H58" s="395">
        <v>7.0599999999999996E-2</v>
      </c>
      <c r="I58" s="396">
        <v>0</v>
      </c>
      <c r="J58" s="394">
        <v>0.21</v>
      </c>
      <c r="K58" s="395">
        <v>5.57E-2</v>
      </c>
      <c r="L58" s="396">
        <v>0</v>
      </c>
      <c r="M58" s="373">
        <v>-7007336.934947744</v>
      </c>
      <c r="N58" s="374">
        <v>-5757154.0788237853</v>
      </c>
      <c r="O58" s="323">
        <f>M58-N58</f>
        <v>-1250182.8561239587</v>
      </c>
      <c r="P58" s="320">
        <f>(1/(1-((J58-K58*J58)+K58)))-1</f>
        <v>0.34048796442881124</v>
      </c>
      <c r="Q58" s="373">
        <v>0</v>
      </c>
      <c r="R58" s="322">
        <f>O58-S58</f>
        <v>425672.21584544401</v>
      </c>
      <c r="S58" s="322">
        <f>O58*(1+P58)</f>
        <v>-1675855.0719694027</v>
      </c>
      <c r="T58" s="374">
        <v>0</v>
      </c>
      <c r="U58" s="323">
        <f>-O58-T58</f>
        <v>1250182.8561239587</v>
      </c>
      <c r="V58" s="373">
        <v>-1250183</v>
      </c>
      <c r="W58" s="374">
        <v>0</v>
      </c>
      <c r="X58" s="374">
        <v>0</v>
      </c>
      <c r="Y58" s="374">
        <v>0</v>
      </c>
      <c r="Z58" s="404">
        <v>0</v>
      </c>
      <c r="AA58" s="404">
        <v>0</v>
      </c>
      <c r="AB58" s="380"/>
      <c r="AC58" s="398">
        <f>SUM(V58:AA58)</f>
        <v>-1250183</v>
      </c>
      <c r="AD58" s="401">
        <f>O58-V58</f>
        <v>0.14387604128569365</v>
      </c>
      <c r="AE58" s="402">
        <f>AD58</f>
        <v>0.14387604128569365</v>
      </c>
      <c r="AF58" s="402">
        <f>AD58-AE58</f>
        <v>0</v>
      </c>
      <c r="AG58" s="403">
        <f>(AD58+AF58)/2</f>
        <v>7.1938020642846823E-2</v>
      </c>
      <c r="AH58" s="509" t="s">
        <v>1711</v>
      </c>
      <c r="AI58" s="392">
        <v>0.14089776501395318</v>
      </c>
      <c r="AJ58" s="405">
        <f>AI58*SUM(W58:AA58)</f>
        <v>0</v>
      </c>
      <c r="AK58" s="398">
        <f>AG58*AI58</f>
        <v>1.0135906328104745E-2</v>
      </c>
      <c r="AL58" s="328"/>
      <c r="AM58" s="327"/>
    </row>
    <row r="59" spans="1:39" s="324" customFormat="1" ht="11.25">
      <c r="A59" s="325">
        <f t="shared" si="0"/>
        <v>53</v>
      </c>
      <c r="B59" s="359"/>
      <c r="C59" s="326"/>
      <c r="D59" s="354"/>
      <c r="E59" s="355"/>
      <c r="F59" s="356"/>
      <c r="G59" s="357"/>
      <c r="H59" s="320"/>
      <c r="I59" s="358"/>
      <c r="J59" s="357"/>
      <c r="K59" s="320"/>
      <c r="L59" s="358"/>
      <c r="M59" s="321"/>
      <c r="N59" s="322"/>
      <c r="O59" s="323"/>
      <c r="P59" s="320"/>
      <c r="Q59" s="321"/>
      <c r="R59" s="322"/>
      <c r="S59" s="322"/>
      <c r="T59" s="322"/>
      <c r="U59" s="323"/>
      <c r="V59" s="321"/>
      <c r="W59" s="322"/>
      <c r="X59" s="322"/>
      <c r="Y59" s="322"/>
      <c r="Z59" s="380"/>
      <c r="AA59" s="380"/>
      <c r="AB59" s="380"/>
      <c r="AC59" s="398"/>
      <c r="AD59" s="401"/>
      <c r="AE59" s="402"/>
      <c r="AF59" s="402"/>
      <c r="AG59" s="403"/>
      <c r="AH59" s="509"/>
      <c r="AI59" s="378"/>
      <c r="AJ59" s="405"/>
      <c r="AK59" s="398"/>
    </row>
    <row r="60" spans="1:39" s="324" customFormat="1" ht="11.25">
      <c r="A60" s="325">
        <f t="shared" si="0"/>
        <v>54</v>
      </c>
      <c r="B60" s="361"/>
      <c r="C60" s="360" t="s">
        <v>1544</v>
      </c>
      <c r="D60" s="362"/>
      <c r="E60" s="363"/>
      <c r="F60" s="364"/>
      <c r="G60" s="365"/>
      <c r="H60" s="366"/>
      <c r="I60" s="367"/>
      <c r="J60" s="365"/>
      <c r="K60" s="366"/>
      <c r="L60" s="367"/>
      <c r="M60" s="368">
        <f>SUBTOTAL(9,M57:M59)</f>
        <v>-7007336.934947744</v>
      </c>
      <c r="N60" s="369">
        <f>SUBTOTAL(9,N57:N59)</f>
        <v>-5757154.0788237853</v>
      </c>
      <c r="O60" s="370">
        <f>SUBTOTAL(9,O57:O59)</f>
        <v>-1250182.8561239587</v>
      </c>
      <c r="P60" s="366"/>
      <c r="Q60" s="368">
        <f>SUM(Q58:Q59)</f>
        <v>0</v>
      </c>
      <c r="R60" s="369">
        <f t="shared" ref="R60:AA60" si="22">SUM(R58:R59)</f>
        <v>425672.21584544401</v>
      </c>
      <c r="S60" s="369">
        <f t="shared" si="22"/>
        <v>-1675855.0719694027</v>
      </c>
      <c r="T60" s="369">
        <f t="shared" si="22"/>
        <v>0</v>
      </c>
      <c r="U60" s="370">
        <f t="shared" si="22"/>
        <v>1250182.8561239587</v>
      </c>
      <c r="V60" s="369">
        <f t="shared" si="22"/>
        <v>-1250183</v>
      </c>
      <c r="W60" s="369">
        <f t="shared" si="22"/>
        <v>0</v>
      </c>
      <c r="X60" s="369">
        <f t="shared" si="22"/>
        <v>0</v>
      </c>
      <c r="Y60" s="369">
        <f t="shared" si="22"/>
        <v>0</v>
      </c>
      <c r="Z60" s="381">
        <f t="shared" si="22"/>
        <v>0</v>
      </c>
      <c r="AA60" s="381">
        <f t="shared" si="22"/>
        <v>0</v>
      </c>
      <c r="AB60" s="381"/>
      <c r="AC60" s="406">
        <f>SUM(V60:AA60)</f>
        <v>-1250183</v>
      </c>
      <c r="AD60" s="408">
        <f>SUBTOTAL(9,AD57:AD59)</f>
        <v>0.14387604128569365</v>
      </c>
      <c r="AE60" s="408">
        <f>SUBTOTAL(9,AE57:AE59)</f>
        <v>0.14387604128569365</v>
      </c>
      <c r="AF60" s="408">
        <f>SUBTOTAL(9,AF57:AF59)</f>
        <v>0</v>
      </c>
      <c r="AG60" s="409">
        <f>SUBTOTAL(9,AG57:AG59)</f>
        <v>7.1938020642846823E-2</v>
      </c>
      <c r="AH60" s="510"/>
      <c r="AI60" s="379"/>
      <c r="AJ60" s="381">
        <f>SUBTOTAL(9,AJ58:AJ58)</f>
        <v>0</v>
      </c>
      <c r="AK60" s="406">
        <f>SUBTOTAL(9,AK58:AK58)</f>
        <v>1.0135906328104745E-2</v>
      </c>
      <c r="AL60" s="327"/>
    </row>
    <row r="61" spans="1:39" s="324" customFormat="1" ht="11.25">
      <c r="A61" s="325">
        <f t="shared" si="0"/>
        <v>55</v>
      </c>
      <c r="B61" s="359"/>
      <c r="C61" s="326"/>
      <c r="D61" s="354"/>
      <c r="E61" s="355"/>
      <c r="F61" s="356"/>
      <c r="G61" s="357"/>
      <c r="H61" s="320"/>
      <c r="I61" s="358"/>
      <c r="J61" s="357"/>
      <c r="K61" s="320"/>
      <c r="L61" s="358"/>
      <c r="M61" s="321"/>
      <c r="N61" s="322"/>
      <c r="O61" s="323"/>
      <c r="P61" s="320"/>
      <c r="Q61" s="321"/>
      <c r="R61" s="322"/>
      <c r="S61" s="322"/>
      <c r="T61" s="322"/>
      <c r="U61" s="323"/>
      <c r="V61" s="321"/>
      <c r="W61" s="322"/>
      <c r="X61" s="322"/>
      <c r="Y61" s="322"/>
      <c r="Z61" s="380"/>
      <c r="AA61" s="380"/>
      <c r="AB61" s="380"/>
      <c r="AC61" s="398"/>
      <c r="AD61" s="401"/>
      <c r="AE61" s="402"/>
      <c r="AF61" s="402"/>
      <c r="AG61" s="403"/>
      <c r="AH61" s="509"/>
      <c r="AI61" s="378"/>
      <c r="AJ61" s="378"/>
      <c r="AK61" s="410"/>
    </row>
    <row r="62" spans="1:39" s="324" customFormat="1" ht="11.25">
      <c r="A62" s="325">
        <f t="shared" si="0"/>
        <v>56</v>
      </c>
      <c r="B62" s="361" t="s">
        <v>1547</v>
      </c>
      <c r="C62" s="360"/>
      <c r="D62" s="362"/>
      <c r="E62" s="363"/>
      <c r="F62" s="364"/>
      <c r="G62" s="365"/>
      <c r="H62" s="366"/>
      <c r="I62" s="367"/>
      <c r="J62" s="365"/>
      <c r="K62" s="366"/>
      <c r="L62" s="367"/>
      <c r="M62" s="368">
        <f>M60+M55+M50</f>
        <v>-114344683.79727364</v>
      </c>
      <c r="N62" s="369">
        <f t="shared" ref="N62:AA62" si="23">N60+N55+N50</f>
        <v>-93944385.552826166</v>
      </c>
      <c r="O62" s="370">
        <f t="shared" si="23"/>
        <v>-20400298.244447492</v>
      </c>
      <c r="P62" s="366"/>
      <c r="Q62" s="368">
        <f t="shared" si="23"/>
        <v>5095497.7365975799</v>
      </c>
      <c r="R62" s="369">
        <f t="shared" si="23"/>
        <v>4439101.7095729867</v>
      </c>
      <c r="S62" s="369">
        <f t="shared" si="23"/>
        <v>-32441852.004037648</v>
      </c>
      <c r="T62" s="369">
        <f t="shared" si="23"/>
        <v>22951341.41333212</v>
      </c>
      <c r="U62" s="370">
        <f t="shared" si="23"/>
        <v>-44088.855465035886</v>
      </c>
      <c r="V62" s="369">
        <f t="shared" si="23"/>
        <v>-20400298</v>
      </c>
      <c r="W62" s="369">
        <f t="shared" si="23"/>
        <v>0</v>
      </c>
      <c r="X62" s="369">
        <f t="shared" si="23"/>
        <v>0</v>
      </c>
      <c r="Y62" s="369">
        <f t="shared" si="23"/>
        <v>0</v>
      </c>
      <c r="Z62" s="381">
        <f t="shared" si="23"/>
        <v>0</v>
      </c>
      <c r="AA62" s="381">
        <f t="shared" si="23"/>
        <v>0</v>
      </c>
      <c r="AB62" s="381"/>
      <c r="AC62" s="406">
        <f>SUM(V62:AA62)</f>
        <v>-20400298</v>
      </c>
      <c r="AD62" s="407">
        <f>SUBTOTAL(9,AD45:AD61)</f>
        <v>-0.24444749299436808</v>
      </c>
      <c r="AE62" s="407">
        <f>SUBTOTAL(9,AE45:AE61)</f>
        <v>-0.24444749299436808</v>
      </c>
      <c r="AF62" s="408">
        <f>SUBTOTAL(9,AF45:AF61)</f>
        <v>0</v>
      </c>
      <c r="AG62" s="409">
        <f>SUBTOTAL(9,AG45:AG61)</f>
        <v>-0.12222374649718404</v>
      </c>
      <c r="AH62" s="510"/>
      <c r="AI62" s="379"/>
      <c r="AJ62" s="381">
        <f>AJ50+AJ55+AJ60</f>
        <v>0</v>
      </c>
      <c r="AK62" s="406">
        <f>SUBTOTAL(9,AK45:AK61)</f>
        <v>-1.722105271308522E-2</v>
      </c>
    </row>
    <row r="63" spans="1:39" s="324" customFormat="1" ht="11.25">
      <c r="A63" s="325">
        <f t="shared" si="0"/>
        <v>57</v>
      </c>
      <c r="B63" s="359"/>
      <c r="C63" s="326"/>
      <c r="D63" s="354"/>
      <c r="E63" s="355"/>
      <c r="F63" s="356"/>
      <c r="G63" s="357"/>
      <c r="H63" s="320"/>
      <c r="I63" s="358"/>
      <c r="J63" s="357"/>
      <c r="K63" s="320"/>
      <c r="L63" s="358"/>
      <c r="M63" s="321"/>
      <c r="N63" s="322"/>
      <c r="O63" s="323"/>
      <c r="P63" s="320"/>
      <c r="Q63" s="321"/>
      <c r="R63" s="322"/>
      <c r="S63" s="322"/>
      <c r="T63" s="322"/>
      <c r="U63" s="323"/>
      <c r="V63" s="321"/>
      <c r="W63" s="322"/>
      <c r="X63" s="322"/>
      <c r="Y63" s="322"/>
      <c r="Z63" s="380"/>
      <c r="AA63" s="380"/>
      <c r="AB63" s="380"/>
      <c r="AC63" s="398"/>
      <c r="AD63" s="401"/>
      <c r="AE63" s="402"/>
      <c r="AF63" s="402"/>
      <c r="AG63" s="403"/>
      <c r="AH63" s="509"/>
      <c r="AI63" s="378"/>
      <c r="AJ63" s="405"/>
      <c r="AK63" s="398"/>
    </row>
    <row r="64" spans="1:39" s="324" customFormat="1" ht="11.25">
      <c r="A64" s="325">
        <f t="shared" si="0"/>
        <v>58</v>
      </c>
      <c r="B64" s="361" t="s">
        <v>1548</v>
      </c>
      <c r="C64" s="360"/>
      <c r="D64" s="362"/>
      <c r="E64" s="363"/>
      <c r="F64" s="364"/>
      <c r="G64" s="365"/>
      <c r="H64" s="366"/>
      <c r="I64" s="367"/>
      <c r="J64" s="365"/>
      <c r="K64" s="366"/>
      <c r="L64" s="367"/>
      <c r="M64" s="368">
        <f>SUM(M42,M62)</f>
        <v>-907654445.79727352</v>
      </c>
      <c r="N64" s="369">
        <f>SUM(N42,N62)</f>
        <v>-569930242.55282605</v>
      </c>
      <c r="O64" s="370">
        <f>SUM(O42,O62)</f>
        <v>-337724203.24444747</v>
      </c>
      <c r="P64" s="366"/>
      <c r="Q64" s="368">
        <f t="shared" ref="Q64:AA64" si="24">SUM(Q42,Q62)</f>
        <v>82529574.549238905</v>
      </c>
      <c r="R64" s="369">
        <f t="shared" si="24"/>
        <v>74386971.000265777</v>
      </c>
      <c r="S64" s="369">
        <f t="shared" si="24"/>
        <v>-535244804.29473042</v>
      </c>
      <c r="T64" s="369">
        <f t="shared" si="24"/>
        <v>366390919.4133321</v>
      </c>
      <c r="U64" s="370">
        <f t="shared" si="24"/>
        <v>11937339.331893634</v>
      </c>
      <c r="V64" s="369">
        <f t="shared" si="24"/>
        <v>-106656827.49864769</v>
      </c>
      <c r="W64" s="369">
        <f t="shared" si="24"/>
        <v>19995378.922658145</v>
      </c>
      <c r="X64" s="369">
        <f t="shared" si="24"/>
        <v>0</v>
      </c>
      <c r="Y64" s="369">
        <f t="shared" si="24"/>
        <v>-40745094.167105637</v>
      </c>
      <c r="Z64" s="381">
        <f t="shared" si="24"/>
        <v>0</v>
      </c>
      <c r="AA64" s="381">
        <f t="shared" si="24"/>
        <v>0</v>
      </c>
      <c r="AB64" s="381"/>
      <c r="AC64" s="406">
        <f>SUM(V64:AA64)</f>
        <v>-127406542.74309519</v>
      </c>
      <c r="AD64" s="407">
        <f>SUM(AD42,AD62)</f>
        <v>-231067375.74579981</v>
      </c>
      <c r="AE64" s="408">
        <f>SUM(AE42,AE62)</f>
        <v>-20749715.488894984</v>
      </c>
      <c r="AF64" s="408">
        <f>SUM(AF42,AF62)</f>
        <v>-210317660.25690481</v>
      </c>
      <c r="AG64" s="413">
        <f>SUM(AG42,AG62)</f>
        <v>-220692518.00135228</v>
      </c>
      <c r="AH64" s="510"/>
      <c r="AI64" s="379"/>
      <c r="AJ64" s="381">
        <f>SUM(AJ42,AJ62)</f>
        <v>-2372164.5943106818</v>
      </c>
      <c r="AK64" s="406">
        <f>SUM(AK42,AK62)</f>
        <v>-30994424.745874096</v>
      </c>
    </row>
    <row r="65" spans="1:37" s="324" customFormat="1" ht="11.25">
      <c r="A65" s="325">
        <f t="shared" si="0"/>
        <v>59</v>
      </c>
      <c r="B65" s="359"/>
      <c r="C65" s="326"/>
      <c r="D65" s="354"/>
      <c r="E65" s="355"/>
      <c r="F65" s="356"/>
      <c r="G65" s="357"/>
      <c r="H65" s="320"/>
      <c r="I65" s="358"/>
      <c r="J65" s="357"/>
      <c r="K65" s="320"/>
      <c r="L65" s="358"/>
      <c r="M65" s="321"/>
      <c r="N65" s="322"/>
      <c r="O65" s="323"/>
      <c r="P65" s="320"/>
      <c r="Q65" s="321"/>
      <c r="R65" s="322"/>
      <c r="S65" s="322"/>
      <c r="T65" s="322"/>
      <c r="U65" s="323"/>
      <c r="V65" s="321"/>
      <c r="W65" s="322"/>
      <c r="X65" s="322"/>
      <c r="Y65" s="322"/>
      <c r="Z65" s="414"/>
      <c r="AA65" s="414"/>
      <c r="AB65" s="414"/>
      <c r="AC65" s="415"/>
      <c r="AD65" s="416"/>
      <c r="AE65" s="417"/>
      <c r="AF65" s="417"/>
      <c r="AG65" s="418"/>
      <c r="AH65" s="419"/>
      <c r="AI65" s="420"/>
      <c r="AJ65" s="420"/>
      <c r="AK65" s="421"/>
    </row>
    <row r="66" spans="1:37" s="324" customFormat="1" ht="11.25">
      <c r="A66" s="325">
        <f t="shared" si="0"/>
        <v>60</v>
      </c>
      <c r="B66" s="359"/>
      <c r="C66" s="326"/>
      <c r="D66" s="354"/>
      <c r="E66" s="355"/>
      <c r="F66" s="356"/>
      <c r="G66" s="357"/>
      <c r="H66" s="320"/>
      <c r="I66" s="358"/>
      <c r="J66" s="357"/>
      <c r="K66" s="320"/>
      <c r="L66" s="358"/>
      <c r="M66" s="321"/>
      <c r="N66" s="322"/>
      <c r="O66" s="323"/>
      <c r="P66" s="320"/>
      <c r="Q66" s="321"/>
      <c r="R66" s="322"/>
      <c r="S66" s="322"/>
      <c r="T66" s="322"/>
      <c r="U66" s="323"/>
      <c r="V66" s="321"/>
      <c r="W66" s="322"/>
      <c r="X66" s="322"/>
      <c r="Y66" s="322"/>
      <c r="Z66" s="322"/>
      <c r="AA66" s="322"/>
      <c r="AB66" s="383"/>
      <c r="AC66" s="422"/>
      <c r="AD66" s="423"/>
      <c r="AE66" s="424"/>
      <c r="AF66" s="424"/>
      <c r="AG66" s="425"/>
      <c r="AH66" s="598" t="s">
        <v>1842</v>
      </c>
      <c r="AI66" s="599"/>
      <c r="AJ66" s="426"/>
      <c r="AK66" s="427"/>
    </row>
    <row r="67" spans="1:37" s="324" customFormat="1" ht="11.25">
      <c r="A67" s="325">
        <f t="shared" si="0"/>
        <v>61</v>
      </c>
      <c r="B67" s="359"/>
      <c r="C67" s="326"/>
      <c r="D67" s="354"/>
      <c r="E67" s="355"/>
      <c r="F67" s="356"/>
      <c r="G67" s="357"/>
      <c r="H67" s="320"/>
      <c r="I67" s="358"/>
      <c r="J67" s="357"/>
      <c r="K67" s="320"/>
      <c r="L67" s="358"/>
      <c r="M67" s="321"/>
      <c r="N67" s="322"/>
      <c r="O67" s="323"/>
      <c r="P67" s="320"/>
      <c r="Q67" s="321"/>
      <c r="R67" s="322"/>
      <c r="S67" s="322"/>
      <c r="T67" s="322"/>
      <c r="U67" s="323"/>
      <c r="V67" s="321"/>
      <c r="W67" s="322"/>
      <c r="X67" s="322"/>
      <c r="Y67" s="322"/>
      <c r="Z67" s="428"/>
      <c r="AA67" s="428"/>
      <c r="AB67" s="383"/>
      <c r="AC67" s="514">
        <f>AC64*(1+$P$11)</f>
        <v>-170786937.13660401</v>
      </c>
      <c r="AD67" s="423">
        <f>AD64*(1+$P$11)</f>
        <v>-309743036.15939444</v>
      </c>
      <c r="AE67" s="424">
        <f>AE64*(1+$P$11)</f>
        <v>-27814743.878185812</v>
      </c>
      <c r="AF67" s="424">
        <f>AF64*(1+$P$11)</f>
        <v>-281928292.28120863</v>
      </c>
      <c r="AG67" s="425">
        <f>(AD67+AF67)/2</f>
        <v>-295835664.22030151</v>
      </c>
      <c r="AH67" s="598" t="s">
        <v>1843</v>
      </c>
      <c r="AI67" s="599"/>
      <c r="AJ67" s="426">
        <f>AJ64*(1+$P$11)</f>
        <v>-3179858.0883176229</v>
      </c>
      <c r="AK67" s="427">
        <f>AK64*(1+$P$11)</f>
        <v>-41547653.336238742</v>
      </c>
    </row>
    <row r="68" spans="1:37" s="324" customFormat="1" ht="11.25">
      <c r="A68" s="325">
        <f t="shared" si="0"/>
        <v>62</v>
      </c>
      <c r="B68" s="359"/>
      <c r="C68" s="326"/>
      <c r="D68" s="354"/>
      <c r="E68" s="355"/>
      <c r="F68" s="356"/>
      <c r="G68" s="357"/>
      <c r="H68" s="320"/>
      <c r="I68" s="358"/>
      <c r="J68" s="357"/>
      <c r="K68" s="320"/>
      <c r="L68" s="358"/>
      <c r="M68" s="321"/>
      <c r="N68" s="322"/>
      <c r="O68" s="323"/>
      <c r="P68" s="320"/>
      <c r="Q68" s="321"/>
      <c r="R68" s="322"/>
      <c r="S68" s="322"/>
      <c r="T68" s="322"/>
      <c r="U68" s="323"/>
      <c r="V68" s="321"/>
      <c r="W68" s="322"/>
      <c r="X68" s="322"/>
      <c r="Y68" s="322"/>
      <c r="Z68" s="428"/>
      <c r="AA68" s="428"/>
      <c r="AB68" s="383"/>
      <c r="AC68" s="429"/>
      <c r="AD68" s="423"/>
      <c r="AE68" s="424"/>
      <c r="AF68" s="424"/>
      <c r="AG68" s="425"/>
      <c r="AH68" s="430"/>
      <c r="AI68" s="431"/>
      <c r="AJ68" s="426"/>
      <c r="AK68" s="427"/>
    </row>
    <row r="69" spans="1:37" s="324" customFormat="1" ht="11.25">
      <c r="A69" s="325">
        <f t="shared" si="0"/>
        <v>63</v>
      </c>
      <c r="B69" s="359"/>
      <c r="C69" s="326"/>
      <c r="D69" s="354"/>
      <c r="E69" s="355"/>
      <c r="F69" s="356"/>
      <c r="G69" s="357"/>
      <c r="H69" s="320"/>
      <c r="I69" s="358"/>
      <c r="J69" s="357"/>
      <c r="K69" s="320"/>
      <c r="L69" s="358"/>
      <c r="M69" s="321"/>
      <c r="N69" s="322"/>
      <c r="O69" s="323"/>
      <c r="P69" s="320"/>
      <c r="Q69" s="321"/>
      <c r="R69" s="322"/>
      <c r="S69" s="322"/>
      <c r="T69" s="322"/>
      <c r="U69" s="323"/>
      <c r="V69" s="321"/>
      <c r="W69" s="322"/>
      <c r="X69" s="322"/>
      <c r="Y69" s="322"/>
      <c r="Z69" s="428"/>
      <c r="AA69" s="428"/>
      <c r="AB69" s="432"/>
      <c r="AC69" s="422">
        <f>-AC67*($J$11*(1-$K$11)+$K$11)</f>
        <v>43380394.393508822</v>
      </c>
      <c r="AD69" s="423">
        <f>-AD67*($J$11*(1-$K$11)+$K$11)</f>
        <v>78675660.413594663</v>
      </c>
      <c r="AE69" s="424">
        <f>-AE67*($J$11*(1-$K$11)+$K$11)</f>
        <v>7065028.3892908301</v>
      </c>
      <c r="AF69" s="424">
        <f>-AF67*($J$11*(1-$K$11)+$K$11)</f>
        <v>71610632.024303824</v>
      </c>
      <c r="AG69" s="425">
        <f>(AD69+AF69)/2</f>
        <v>75143146.218949243</v>
      </c>
      <c r="AH69" s="598" t="s">
        <v>1844</v>
      </c>
      <c r="AI69" s="599"/>
      <c r="AJ69" s="426">
        <f>-AJ67*($J$11*(1-$K$11)+$K$11)</f>
        <v>807693.49400694109</v>
      </c>
      <c r="AK69" s="427">
        <f>-AK67*($J$11*(1-$K$11)+$K$11)</f>
        <v>10553228.590364648</v>
      </c>
    </row>
    <row r="70" spans="1:37" s="324" customFormat="1" ht="11.25">
      <c r="A70" s="325">
        <f t="shared" si="0"/>
        <v>64</v>
      </c>
      <c r="B70" s="359"/>
      <c r="C70" s="326"/>
      <c r="D70" s="354"/>
      <c r="E70" s="355"/>
      <c r="F70" s="356"/>
      <c r="G70" s="357"/>
      <c r="H70" s="320"/>
      <c r="I70" s="358"/>
      <c r="J70" s="357"/>
      <c r="K70" s="320"/>
      <c r="L70" s="358"/>
      <c r="M70" s="321"/>
      <c r="N70" s="322"/>
      <c r="O70" s="323"/>
      <c r="P70" s="320"/>
      <c r="Q70" s="321"/>
      <c r="R70" s="322"/>
      <c r="S70" s="322"/>
      <c r="T70" s="322"/>
      <c r="U70" s="323"/>
      <c r="V70" s="321"/>
      <c r="W70" s="322"/>
      <c r="X70" s="322"/>
      <c r="Y70" s="322"/>
      <c r="Z70" s="428"/>
      <c r="AA70" s="428"/>
      <c r="AB70" s="383"/>
      <c r="AC70" s="429"/>
      <c r="AD70" s="423"/>
      <c r="AE70" s="424"/>
      <c r="AF70" s="424"/>
      <c r="AG70" s="425"/>
      <c r="AH70" s="430" t="s">
        <v>1845</v>
      </c>
      <c r="AI70" s="431"/>
      <c r="AJ70" s="426"/>
      <c r="AK70" s="427"/>
    </row>
    <row r="71" spans="1:37" s="324" customFormat="1" ht="11.25">
      <c r="A71" s="325">
        <f t="shared" si="0"/>
        <v>65</v>
      </c>
      <c r="B71" s="359"/>
      <c r="C71" s="326"/>
      <c r="D71" s="354"/>
      <c r="E71" s="355"/>
      <c r="F71" s="356"/>
      <c r="G71" s="357"/>
      <c r="H71" s="320"/>
      <c r="I71" s="358"/>
      <c r="J71" s="357"/>
      <c r="K71" s="320"/>
      <c r="L71" s="358"/>
      <c r="M71" s="321"/>
      <c r="N71" s="322"/>
      <c r="O71" s="323"/>
      <c r="P71" s="320"/>
      <c r="Q71" s="321"/>
      <c r="R71" s="322"/>
      <c r="S71" s="322"/>
      <c r="T71" s="322"/>
      <c r="U71" s="323"/>
      <c r="V71" s="321"/>
      <c r="W71" s="322"/>
      <c r="X71" s="322"/>
      <c r="Y71" s="322"/>
      <c r="Z71" s="322"/>
      <c r="AA71" s="322"/>
      <c r="AB71" s="383"/>
      <c r="AC71" s="422">
        <f>SUM(AC65:AC70)</f>
        <v>-127406542.74309519</v>
      </c>
      <c r="AD71" s="423">
        <f>SUM(AD65:AD70)</f>
        <v>-231067375.74579978</v>
      </c>
      <c r="AE71" s="424">
        <f>SUM(AE65:AE70)</f>
        <v>-20749715.488894984</v>
      </c>
      <c r="AF71" s="424">
        <f>SUM(AF65:AF70)</f>
        <v>-210317660.25690481</v>
      </c>
      <c r="AG71" s="425">
        <f>(AD71+AF71)/2</f>
        <v>-220692518.00135231</v>
      </c>
      <c r="AH71" s="598" t="s">
        <v>557</v>
      </c>
      <c r="AI71" s="599"/>
      <c r="AJ71" s="426">
        <f>SUM(AJ65:AJ70)</f>
        <v>-2372164.5943106818</v>
      </c>
      <c r="AK71" s="427">
        <f>SUM(AK65:AK70)</f>
        <v>-30994424.745874092</v>
      </c>
    </row>
    <row r="72" spans="1:37" s="324" customFormat="1" ht="11.25">
      <c r="A72" s="325">
        <f t="shared" si="0"/>
        <v>66</v>
      </c>
      <c r="B72" s="359"/>
      <c r="C72" s="326"/>
      <c r="D72" s="354"/>
      <c r="E72" s="355"/>
      <c r="F72" s="356"/>
      <c r="G72" s="357"/>
      <c r="H72" s="320"/>
      <c r="I72" s="358"/>
      <c r="J72" s="357"/>
      <c r="K72" s="320"/>
      <c r="L72" s="358"/>
      <c r="M72" s="321"/>
      <c r="N72" s="322"/>
      <c r="O72" s="323"/>
      <c r="P72" s="320"/>
      <c r="Q72" s="321"/>
      <c r="R72" s="322"/>
      <c r="S72" s="322"/>
      <c r="T72" s="322"/>
      <c r="U72" s="323"/>
      <c r="V72" s="321"/>
      <c r="W72" s="322"/>
      <c r="X72" s="341"/>
      <c r="Y72" s="377"/>
      <c r="Z72" s="433"/>
      <c r="AA72" s="433"/>
      <c r="AB72" s="386"/>
      <c r="AC72" s="398"/>
      <c r="AD72" s="401"/>
      <c r="AE72" s="402"/>
      <c r="AF72" s="402"/>
      <c r="AG72" s="411"/>
      <c r="AH72" s="509"/>
      <c r="AI72" s="378"/>
      <c r="AJ72" s="378"/>
      <c r="AK72" s="410"/>
    </row>
    <row r="73" spans="1:37" s="324" customFormat="1" ht="11.25">
      <c r="A73" s="325">
        <f t="shared" si="0"/>
        <v>67</v>
      </c>
      <c r="B73" s="359"/>
      <c r="C73" s="326"/>
      <c r="D73" s="354"/>
      <c r="E73" s="355"/>
      <c r="F73" s="356"/>
      <c r="G73" s="357"/>
      <c r="H73" s="320"/>
      <c r="I73" s="358"/>
      <c r="J73" s="357"/>
      <c r="K73" s="320"/>
      <c r="L73" s="358"/>
      <c r="M73" s="321"/>
      <c r="N73" s="322"/>
      <c r="O73" s="323"/>
      <c r="P73" s="320"/>
      <c r="Q73" s="321"/>
      <c r="R73" s="322"/>
      <c r="S73" s="322"/>
      <c r="T73" s="322"/>
      <c r="U73" s="323"/>
      <c r="V73" s="321"/>
      <c r="W73" s="322"/>
      <c r="X73" s="376"/>
      <c r="Y73" s="341"/>
      <c r="Z73" s="434"/>
      <c r="AA73" s="434"/>
      <c r="AB73" s="386"/>
      <c r="AC73" s="398"/>
      <c r="AD73" s="401"/>
      <c r="AE73" s="402"/>
      <c r="AF73" s="402"/>
      <c r="AG73" s="411"/>
      <c r="AH73" s="509"/>
      <c r="AI73" s="378"/>
      <c r="AJ73" s="405"/>
      <c r="AK73" s="410"/>
    </row>
    <row r="74" spans="1:37" s="324" customFormat="1" ht="11.25">
      <c r="A74" s="325">
        <f t="shared" si="0"/>
        <v>68</v>
      </c>
      <c r="B74" s="359"/>
      <c r="C74" s="326"/>
      <c r="D74" s="354"/>
      <c r="E74" s="355"/>
      <c r="F74" s="356"/>
      <c r="G74" s="357"/>
      <c r="H74" s="320"/>
      <c r="I74" s="358"/>
      <c r="J74" s="357"/>
      <c r="K74" s="320"/>
      <c r="L74" s="358"/>
      <c r="M74" s="321"/>
      <c r="N74" s="322"/>
      <c r="O74" s="323"/>
      <c r="P74" s="320"/>
      <c r="Q74" s="321"/>
      <c r="R74" s="322"/>
      <c r="S74" s="322"/>
      <c r="T74" s="322"/>
      <c r="U74" s="323"/>
      <c r="V74" s="321"/>
      <c r="W74" s="322"/>
      <c r="X74" s="376"/>
      <c r="Y74" s="341"/>
      <c r="Z74" s="434"/>
      <c r="AA74" s="434"/>
      <c r="AB74" s="386"/>
      <c r="AC74" s="398"/>
      <c r="AD74" s="401"/>
      <c r="AE74" s="402"/>
      <c r="AF74" s="402"/>
      <c r="AG74" s="411"/>
      <c r="AH74" s="509"/>
      <c r="AI74" s="378"/>
      <c r="AJ74" s="378"/>
      <c r="AK74" s="410"/>
    </row>
    <row r="75" spans="1:37" s="324" customFormat="1" ht="11.25">
      <c r="A75" s="325">
        <f t="shared" si="0"/>
        <v>69</v>
      </c>
      <c r="B75" s="359"/>
      <c r="C75" s="326"/>
      <c r="D75" s="354"/>
      <c r="E75" s="355"/>
      <c r="F75" s="356"/>
      <c r="G75" s="357"/>
      <c r="H75" s="320"/>
      <c r="I75" s="358"/>
      <c r="J75" s="357"/>
      <c r="K75" s="320"/>
      <c r="L75" s="358"/>
      <c r="M75" s="321"/>
      <c r="N75" s="322"/>
      <c r="O75" s="323"/>
      <c r="P75" s="320"/>
      <c r="Q75" s="321"/>
      <c r="R75" s="322"/>
      <c r="S75" s="322"/>
      <c r="T75" s="322"/>
      <c r="U75" s="323"/>
      <c r="V75" s="321"/>
      <c r="W75" s="322"/>
      <c r="X75" s="376"/>
      <c r="Y75" s="341"/>
      <c r="Z75" s="434"/>
      <c r="AA75" s="434"/>
      <c r="AB75" s="386"/>
      <c r="AC75" s="398"/>
      <c r="AD75" s="401"/>
      <c r="AE75" s="402"/>
      <c r="AF75" s="402"/>
      <c r="AG75" s="411"/>
      <c r="AH75" s="509"/>
      <c r="AI75" s="378"/>
      <c r="AJ75" s="378"/>
      <c r="AK75" s="410"/>
    </row>
    <row r="76" spans="1:37" s="324" customFormat="1" ht="11.25">
      <c r="A76" s="325">
        <f>A75+1</f>
        <v>70</v>
      </c>
      <c r="B76" s="359"/>
      <c r="C76" s="326"/>
      <c r="D76" s="354"/>
      <c r="E76" s="355"/>
      <c r="F76" s="356"/>
      <c r="G76" s="357"/>
      <c r="H76" s="320"/>
      <c r="I76" s="358"/>
      <c r="J76" s="357"/>
      <c r="K76" s="320"/>
      <c r="L76" s="358"/>
      <c r="M76" s="321"/>
      <c r="N76" s="322"/>
      <c r="O76" s="323"/>
      <c r="P76" s="320"/>
      <c r="Q76" s="321"/>
      <c r="R76" s="322"/>
      <c r="S76" s="322"/>
      <c r="T76" s="322"/>
      <c r="U76" s="323"/>
      <c r="V76" s="321"/>
      <c r="W76" s="322"/>
      <c r="X76" s="322"/>
      <c r="Y76" s="322"/>
      <c r="Z76" s="380"/>
      <c r="AA76" s="380"/>
      <c r="AB76" s="380"/>
      <c r="AC76" s="398"/>
      <c r="AD76" s="401"/>
      <c r="AE76" s="402"/>
      <c r="AF76" s="402"/>
      <c r="AG76" s="435"/>
      <c r="AH76" s="509"/>
      <c r="AI76" s="378"/>
      <c r="AJ76" s="378"/>
      <c r="AK76" s="410"/>
    </row>
    <row r="77" spans="1:37" s="324" customFormat="1" ht="11.25">
      <c r="A77" s="329"/>
      <c r="B77" s="371"/>
      <c r="C77" s="371"/>
      <c r="D77" s="371"/>
      <c r="E77" s="371"/>
      <c r="F77" s="371"/>
      <c r="G77" s="319"/>
      <c r="H77" s="319"/>
      <c r="I77" s="319"/>
      <c r="J77" s="319"/>
      <c r="K77" s="319"/>
      <c r="L77" s="319"/>
      <c r="M77" s="319"/>
      <c r="N77" s="319"/>
      <c r="O77" s="319"/>
      <c r="P77" s="319"/>
      <c r="Q77" s="319"/>
      <c r="R77" s="319"/>
      <c r="S77" s="319"/>
      <c r="T77" s="319"/>
      <c r="U77" s="319"/>
      <c r="V77" s="371"/>
      <c r="W77" s="371"/>
      <c r="X77" s="371"/>
      <c r="Y77" s="371"/>
      <c r="Z77" s="371"/>
      <c r="AA77" s="371"/>
      <c r="AB77" s="371"/>
      <c r="AC77" s="371"/>
      <c r="AD77" s="371"/>
      <c r="AE77" s="371"/>
      <c r="AF77" s="371"/>
      <c r="AG77" s="371"/>
      <c r="AH77" s="371"/>
      <c r="AI77" s="371"/>
      <c r="AJ77" s="371"/>
      <c r="AK77" s="345"/>
    </row>
    <row r="78" spans="1:37" s="324" customFormat="1">
      <c r="A78" s="330" t="s">
        <v>1549</v>
      </c>
      <c r="B78" s="383" t="s">
        <v>1729</v>
      </c>
      <c r="D78" s="383"/>
      <c r="E78" s="383"/>
      <c r="F78" s="383"/>
      <c r="G78" s="524"/>
      <c r="H78" s="524"/>
      <c r="I78" s="322"/>
      <c r="J78" s="322"/>
      <c r="K78" s="322"/>
      <c r="L78" s="322"/>
      <c r="M78" s="322"/>
      <c r="N78" s="322"/>
      <c r="O78" s="322"/>
      <c r="P78" s="322"/>
      <c r="Q78" s="322"/>
      <c r="R78" s="322"/>
      <c r="S78" s="322"/>
      <c r="T78" s="322"/>
      <c r="U78" s="322"/>
      <c r="V78" s="372"/>
      <c r="W78"/>
      <c r="X78"/>
      <c r="Y78"/>
      <c r="Z78"/>
      <c r="AA78"/>
      <c r="AB78"/>
      <c r="AC78"/>
      <c r="AD78"/>
      <c r="AE78"/>
      <c r="AF78"/>
      <c r="AG78"/>
      <c r="AH78"/>
      <c r="AK78" s="326"/>
    </row>
    <row r="79" spans="1:37" s="324" customFormat="1">
      <c r="A79" s="330"/>
      <c r="E79" s="383"/>
      <c r="G79" s="322"/>
      <c r="H79" s="322"/>
      <c r="I79" s="322"/>
      <c r="J79" s="322"/>
      <c r="K79" s="322"/>
      <c r="L79" s="322"/>
      <c r="M79" s="322"/>
      <c r="N79" s="322"/>
      <c r="O79" s="322"/>
      <c r="P79" s="322"/>
      <c r="Q79" s="322"/>
      <c r="R79" s="322"/>
      <c r="S79" s="322"/>
      <c r="T79" s="322"/>
      <c r="U79" s="322"/>
      <c r="W79"/>
      <c r="X79"/>
      <c r="Y79"/>
      <c r="Z79"/>
      <c r="AA79"/>
      <c r="AB79"/>
      <c r="AC79"/>
      <c r="AD79"/>
      <c r="AE79"/>
      <c r="AF79"/>
      <c r="AG79"/>
      <c r="AH79"/>
      <c r="AK79" s="326"/>
    </row>
    <row r="80" spans="1:37" s="324" customFormat="1" ht="11.25">
      <c r="A80" s="331" t="s">
        <v>106</v>
      </c>
      <c r="B80" s="324" t="s">
        <v>1550</v>
      </c>
      <c r="E80" s="384"/>
      <c r="G80" s="322"/>
      <c r="H80" s="322"/>
      <c r="I80" s="322"/>
      <c r="J80" s="322"/>
      <c r="K80" s="322"/>
      <c r="L80" s="322"/>
      <c r="M80" s="322"/>
      <c r="N80" s="322"/>
      <c r="O80" s="322"/>
      <c r="P80" s="322"/>
      <c r="Q80" s="322"/>
      <c r="R80" s="322"/>
      <c r="S80" s="322"/>
      <c r="T80" s="322"/>
      <c r="U80" s="322"/>
      <c r="AK80" s="326"/>
    </row>
    <row r="81" spans="1:40" s="324" customFormat="1" ht="11.25">
      <c r="A81" s="331"/>
      <c r="B81" s="324" t="s">
        <v>1551</v>
      </c>
      <c r="E81" s="384"/>
      <c r="G81" s="322"/>
      <c r="H81" s="322"/>
      <c r="I81" s="322"/>
      <c r="J81" s="322"/>
      <c r="K81" s="322"/>
      <c r="L81" s="322"/>
      <c r="M81" s="322"/>
      <c r="N81" s="322"/>
      <c r="O81" s="322"/>
      <c r="P81" s="322"/>
      <c r="Q81" s="322"/>
      <c r="R81" s="322"/>
      <c r="S81" s="322"/>
      <c r="T81" s="322"/>
      <c r="U81" s="322"/>
      <c r="AK81" s="326"/>
    </row>
    <row r="82" spans="1:40" s="324" customFormat="1" ht="11.25">
      <c r="A82" s="331" t="s">
        <v>756</v>
      </c>
      <c r="B82" s="324" t="s">
        <v>1694</v>
      </c>
      <c r="E82" s="384"/>
      <c r="G82" s="322"/>
      <c r="H82" s="322"/>
      <c r="I82" s="322"/>
      <c r="J82" s="322"/>
      <c r="K82" s="322"/>
      <c r="L82" s="322"/>
      <c r="M82" s="322"/>
      <c r="N82" s="322"/>
      <c r="O82" s="322"/>
      <c r="P82" s="322"/>
      <c r="Q82" s="322"/>
      <c r="R82" s="322"/>
      <c r="S82" s="322"/>
      <c r="T82" s="322"/>
      <c r="U82" s="322"/>
      <c r="AK82" s="326"/>
    </row>
    <row r="83" spans="1:40" s="324" customFormat="1" ht="11.25">
      <c r="A83" s="331" t="s">
        <v>852</v>
      </c>
      <c r="B83" s="324" t="s">
        <v>1552</v>
      </c>
      <c r="E83" s="383"/>
      <c r="G83" s="322"/>
      <c r="H83" s="322"/>
      <c r="I83" s="322"/>
      <c r="J83" s="322"/>
      <c r="K83" s="322"/>
      <c r="L83" s="322"/>
      <c r="M83" s="322"/>
      <c r="N83" s="322"/>
      <c r="O83" s="322"/>
      <c r="P83" s="322"/>
      <c r="Q83" s="322"/>
      <c r="R83" s="322"/>
      <c r="S83" s="322"/>
      <c r="T83" s="322"/>
      <c r="U83" s="322"/>
      <c r="AK83" s="326"/>
    </row>
    <row r="84" spans="1:40" s="324" customFormat="1" ht="11.25">
      <c r="A84" s="331"/>
      <c r="B84" s="324" t="s">
        <v>1695</v>
      </c>
      <c r="E84" s="384"/>
      <c r="G84" s="322"/>
      <c r="H84" s="322"/>
      <c r="I84" s="322"/>
      <c r="J84" s="322"/>
      <c r="K84" s="322"/>
      <c r="L84" s="322"/>
      <c r="M84" s="322"/>
      <c r="N84" s="322"/>
      <c r="O84" s="322"/>
      <c r="P84" s="322"/>
      <c r="Q84" s="322"/>
      <c r="R84" s="322"/>
      <c r="S84" s="322"/>
      <c r="T84" s="322"/>
      <c r="U84" s="322"/>
      <c r="AK84" s="326"/>
    </row>
    <row r="85" spans="1:40" s="324" customFormat="1" ht="11.25">
      <c r="A85" s="331"/>
      <c r="B85" s="324" t="s">
        <v>1696</v>
      </c>
      <c r="E85" s="384"/>
      <c r="G85" s="322"/>
      <c r="H85" s="322"/>
      <c r="I85" s="322"/>
      <c r="J85" s="322"/>
      <c r="K85" s="322"/>
      <c r="L85" s="322"/>
      <c r="M85" s="322"/>
      <c r="N85" s="322"/>
      <c r="O85" s="322"/>
      <c r="P85" s="322"/>
      <c r="Q85" s="322"/>
      <c r="R85" s="322"/>
      <c r="S85" s="322"/>
      <c r="T85" s="322"/>
      <c r="U85" s="322"/>
      <c r="AK85" s="326"/>
    </row>
    <row r="86" spans="1:40" s="324" customFormat="1" ht="11.25">
      <c r="A86" s="331" t="s">
        <v>697</v>
      </c>
      <c r="B86" s="324" t="s">
        <v>1553</v>
      </c>
      <c r="E86" s="384"/>
      <c r="G86" s="322"/>
      <c r="H86" s="322"/>
      <c r="I86" s="322"/>
      <c r="J86" s="322"/>
      <c r="K86" s="322"/>
      <c r="L86" s="322"/>
      <c r="M86" s="322"/>
      <c r="N86" s="322"/>
      <c r="O86" s="322"/>
      <c r="P86" s="322"/>
      <c r="Q86" s="322"/>
      <c r="R86" s="322"/>
      <c r="S86" s="322"/>
      <c r="T86" s="322"/>
      <c r="U86" s="322"/>
      <c r="AK86" s="326"/>
    </row>
    <row r="87" spans="1:40" s="324" customFormat="1" ht="22.5" customHeight="1">
      <c r="A87" s="331" t="s">
        <v>901</v>
      </c>
      <c r="B87" s="324" t="s">
        <v>1554</v>
      </c>
      <c r="E87" s="384"/>
      <c r="G87" s="322"/>
      <c r="H87" s="322"/>
      <c r="I87" s="322"/>
      <c r="J87" s="322"/>
      <c r="K87" s="322"/>
      <c r="L87" s="322"/>
      <c r="M87" s="322"/>
      <c r="N87" s="322"/>
      <c r="O87" s="322"/>
      <c r="P87" s="322"/>
      <c r="Q87" s="322"/>
      <c r="R87" s="322"/>
      <c r="S87" s="322"/>
      <c r="T87" s="322"/>
      <c r="U87" s="322"/>
      <c r="AK87" s="326"/>
      <c r="AN87" s="318"/>
    </row>
    <row r="88" spans="1:40" s="324" customFormat="1" ht="11.25">
      <c r="A88" s="331"/>
      <c r="B88" s="384" t="s">
        <v>1707</v>
      </c>
      <c r="E88" s="384"/>
      <c r="G88" s="322"/>
      <c r="H88" s="322"/>
      <c r="I88" s="322"/>
      <c r="J88" s="322"/>
      <c r="K88" s="322"/>
      <c r="L88" s="322"/>
      <c r="M88" s="322"/>
      <c r="N88" s="322"/>
      <c r="O88" s="322"/>
      <c r="P88" s="322"/>
      <c r="Q88" s="322"/>
      <c r="R88" s="322"/>
      <c r="S88" s="322"/>
      <c r="T88" s="322"/>
      <c r="U88" s="322"/>
      <c r="AK88" s="326"/>
      <c r="AN88" s="318"/>
    </row>
    <row r="89" spans="1:40" s="324" customFormat="1" ht="11.25">
      <c r="A89" s="331" t="s">
        <v>902</v>
      </c>
      <c r="B89" s="324" t="s">
        <v>1555</v>
      </c>
      <c r="E89" s="383"/>
      <c r="G89" s="322"/>
      <c r="H89" s="322"/>
      <c r="I89" s="322"/>
      <c r="J89" s="322"/>
      <c r="K89" s="322"/>
      <c r="L89" s="322"/>
      <c r="M89" s="322"/>
      <c r="N89" s="322"/>
      <c r="O89" s="322"/>
      <c r="P89" s="322"/>
      <c r="Q89" s="322"/>
      <c r="R89" s="322"/>
      <c r="S89" s="322"/>
      <c r="T89" s="322"/>
      <c r="U89" s="322"/>
      <c r="AK89" s="326"/>
      <c r="AN89" s="318"/>
    </row>
    <row r="90" spans="1:40" s="324" customFormat="1" ht="11.25">
      <c r="A90" s="331" t="s">
        <v>1251</v>
      </c>
      <c r="B90" s="324" t="s">
        <v>1556</v>
      </c>
      <c r="G90" s="322"/>
      <c r="H90" s="322"/>
      <c r="I90" s="322"/>
      <c r="J90" s="322"/>
      <c r="K90" s="322"/>
      <c r="L90" s="322"/>
      <c r="M90" s="322"/>
      <c r="N90" s="322"/>
      <c r="O90" s="322"/>
      <c r="P90" s="322"/>
      <c r="Q90" s="322"/>
      <c r="R90" s="322"/>
      <c r="S90" s="322"/>
      <c r="T90" s="322"/>
      <c r="U90" s="322"/>
      <c r="AK90" s="326"/>
      <c r="AN90" s="318"/>
    </row>
    <row r="91" spans="1:40" s="324" customFormat="1" ht="11.25">
      <c r="A91" s="385" t="s">
        <v>1252</v>
      </c>
      <c r="B91" s="324" t="s">
        <v>1699</v>
      </c>
      <c r="G91" s="341"/>
      <c r="H91" s="341"/>
      <c r="I91" s="341"/>
      <c r="J91" s="341"/>
      <c r="K91" s="341"/>
      <c r="L91" s="341"/>
      <c r="M91" s="341"/>
      <c r="N91" s="341"/>
      <c r="O91" s="341"/>
      <c r="P91" s="341"/>
      <c r="Q91" s="341"/>
      <c r="R91" s="341"/>
      <c r="S91" s="341"/>
      <c r="T91" s="341"/>
      <c r="U91" s="341"/>
      <c r="Z91" s="386"/>
      <c r="AA91" s="386"/>
      <c r="AB91" s="386"/>
      <c r="AC91" s="386"/>
      <c r="AD91" s="387"/>
      <c r="AE91" s="387"/>
      <c r="AF91" s="387"/>
      <c r="AG91" s="387"/>
      <c r="AH91" s="386"/>
      <c r="AI91" s="386"/>
      <c r="AJ91" s="386"/>
      <c r="AK91" s="388"/>
      <c r="AN91" s="318"/>
    </row>
    <row r="92" spans="1:40" s="324" customFormat="1" ht="11.25">
      <c r="A92" s="385"/>
      <c r="B92" s="324" t="s">
        <v>1700</v>
      </c>
      <c r="G92" s="341"/>
      <c r="H92" s="341"/>
      <c r="I92" s="341"/>
      <c r="J92" s="341"/>
      <c r="K92" s="341"/>
      <c r="L92" s="341"/>
      <c r="M92" s="341"/>
      <c r="N92" s="341"/>
      <c r="O92" s="341"/>
      <c r="P92" s="341"/>
      <c r="Q92" s="341"/>
      <c r="R92" s="341"/>
      <c r="S92" s="341"/>
      <c r="T92" s="341"/>
      <c r="U92" s="341"/>
      <c r="Z92" s="386"/>
      <c r="AA92" s="386"/>
      <c r="AB92" s="386"/>
      <c r="AC92" s="386"/>
      <c r="AD92" s="387"/>
      <c r="AE92" s="387"/>
      <c r="AF92" s="387"/>
      <c r="AG92" s="387"/>
      <c r="AH92" s="386"/>
      <c r="AI92" s="386"/>
      <c r="AJ92" s="386"/>
      <c r="AK92" s="388"/>
      <c r="AN92" s="318"/>
    </row>
    <row r="93" spans="1:40" s="324" customFormat="1" ht="11.25">
      <c r="A93" s="385"/>
      <c r="B93" s="324" t="s">
        <v>1701</v>
      </c>
      <c r="G93" s="341"/>
      <c r="H93" s="341"/>
      <c r="I93" s="341"/>
      <c r="J93" s="341"/>
      <c r="K93" s="341"/>
      <c r="L93" s="341"/>
      <c r="M93" s="341"/>
      <c r="N93" s="341"/>
      <c r="O93" s="341"/>
      <c r="P93" s="341"/>
      <c r="Q93" s="341"/>
      <c r="R93" s="341"/>
      <c r="S93" s="341"/>
      <c r="T93" s="341"/>
      <c r="U93" s="341"/>
      <c r="Z93" s="386"/>
      <c r="AA93" s="386"/>
      <c r="AB93" s="386"/>
      <c r="AC93" s="386"/>
      <c r="AD93" s="387"/>
      <c r="AE93" s="387"/>
      <c r="AF93" s="387"/>
      <c r="AG93" s="387"/>
      <c r="AH93" s="386"/>
      <c r="AI93" s="386"/>
      <c r="AJ93" s="386"/>
      <c r="AK93" s="388"/>
      <c r="AN93" s="318"/>
    </row>
    <row r="94" spans="1:40" s="324" customFormat="1" ht="11.25">
      <c r="A94" s="385"/>
      <c r="B94" s="324" t="s">
        <v>1702</v>
      </c>
      <c r="G94" s="341"/>
      <c r="H94" s="341"/>
      <c r="I94" s="341"/>
      <c r="J94" s="341"/>
      <c r="K94" s="341"/>
      <c r="L94" s="341"/>
      <c r="M94" s="341"/>
      <c r="N94" s="341"/>
      <c r="O94" s="341"/>
      <c r="P94" s="341"/>
      <c r="Q94" s="341"/>
      <c r="R94" s="341"/>
      <c r="S94" s="341"/>
      <c r="T94" s="341"/>
      <c r="U94" s="341"/>
      <c r="Z94" s="386"/>
      <c r="AA94" s="386"/>
      <c r="AB94" s="386"/>
      <c r="AC94" s="386"/>
      <c r="AD94" s="387"/>
      <c r="AE94" s="387"/>
      <c r="AF94" s="387"/>
      <c r="AG94" s="387"/>
      <c r="AH94" s="386"/>
      <c r="AI94" s="386"/>
      <c r="AJ94" s="386"/>
      <c r="AK94" s="388"/>
      <c r="AN94" s="318"/>
    </row>
    <row r="95" spans="1:40" s="324" customFormat="1" ht="11.25">
      <c r="A95" s="385"/>
      <c r="B95" s="324" t="s">
        <v>1703</v>
      </c>
      <c r="G95" s="341"/>
      <c r="H95" s="341"/>
      <c r="I95" s="341"/>
      <c r="J95" s="341"/>
      <c r="K95" s="341"/>
      <c r="L95" s="341"/>
      <c r="M95" s="341"/>
      <c r="N95" s="341"/>
      <c r="O95" s="341"/>
      <c r="P95" s="341"/>
      <c r="Q95" s="341"/>
      <c r="R95" s="341"/>
      <c r="S95" s="341"/>
      <c r="T95" s="341"/>
      <c r="U95" s="341"/>
      <c r="Z95" s="386"/>
      <c r="AA95" s="386"/>
      <c r="AB95" s="386"/>
      <c r="AC95" s="386"/>
      <c r="AD95" s="387"/>
      <c r="AE95" s="387"/>
      <c r="AF95" s="387"/>
      <c r="AG95" s="387"/>
      <c r="AH95" s="386"/>
      <c r="AI95" s="386"/>
      <c r="AJ95" s="386"/>
      <c r="AK95" s="388"/>
      <c r="AN95" s="318"/>
    </row>
    <row r="96" spans="1:40" s="324" customFormat="1" ht="11.25">
      <c r="A96" s="385"/>
      <c r="B96" s="324" t="s">
        <v>1704</v>
      </c>
      <c r="G96" s="341"/>
      <c r="H96" s="341"/>
      <c r="I96" s="341"/>
      <c r="J96" s="341"/>
      <c r="K96" s="341"/>
      <c r="L96" s="341"/>
      <c r="M96" s="341"/>
      <c r="N96" s="341"/>
      <c r="O96" s="341"/>
      <c r="P96" s="341"/>
      <c r="Q96" s="341"/>
      <c r="R96" s="341"/>
      <c r="S96" s="341"/>
      <c r="T96" s="341"/>
      <c r="U96" s="341"/>
      <c r="Z96" s="386"/>
      <c r="AA96" s="386"/>
      <c r="AB96" s="386"/>
      <c r="AC96" s="386"/>
      <c r="AD96" s="387"/>
      <c r="AE96" s="387"/>
      <c r="AF96" s="387"/>
      <c r="AG96" s="387"/>
      <c r="AH96" s="386"/>
      <c r="AI96" s="386"/>
      <c r="AJ96" s="386"/>
      <c r="AK96" s="388"/>
    </row>
    <row r="97" spans="1:37" s="324" customFormat="1" ht="11.25">
      <c r="A97" s="385"/>
      <c r="B97" s="324" t="s">
        <v>1705</v>
      </c>
      <c r="G97" s="341"/>
      <c r="H97" s="341"/>
      <c r="I97" s="341"/>
      <c r="J97" s="341"/>
      <c r="K97" s="341"/>
      <c r="L97" s="341"/>
      <c r="M97" s="341"/>
      <c r="N97" s="341"/>
      <c r="O97" s="341"/>
      <c r="P97" s="341"/>
      <c r="Q97" s="341"/>
      <c r="R97" s="341"/>
      <c r="S97" s="341"/>
      <c r="T97" s="341"/>
      <c r="U97" s="341"/>
      <c r="Z97" s="386"/>
      <c r="AA97" s="386"/>
      <c r="AB97" s="386"/>
      <c r="AC97" s="386"/>
      <c r="AD97" s="387"/>
      <c r="AE97" s="387"/>
      <c r="AF97" s="387"/>
      <c r="AG97" s="387"/>
      <c r="AH97" s="386"/>
      <c r="AI97" s="386"/>
      <c r="AJ97" s="386"/>
      <c r="AK97" s="388"/>
    </row>
    <row r="98" spans="1:37" s="324" customFormat="1" ht="11.25">
      <c r="A98" s="385"/>
      <c r="B98" s="324" t="s">
        <v>1706</v>
      </c>
      <c r="G98" s="341"/>
      <c r="H98" s="341"/>
      <c r="I98" s="341"/>
      <c r="J98" s="341"/>
      <c r="K98" s="341"/>
      <c r="L98" s="341"/>
      <c r="M98" s="341"/>
      <c r="N98" s="341"/>
      <c r="O98" s="341"/>
      <c r="P98" s="341"/>
      <c r="Q98" s="341"/>
      <c r="R98" s="341"/>
      <c r="S98" s="341"/>
      <c r="T98" s="341"/>
      <c r="U98" s="341"/>
      <c r="Z98" s="386"/>
      <c r="AA98" s="386"/>
      <c r="AB98" s="386"/>
      <c r="AC98" s="386"/>
      <c r="AD98" s="387"/>
      <c r="AE98" s="387"/>
      <c r="AF98" s="387"/>
      <c r="AG98" s="387"/>
      <c r="AH98" s="386"/>
      <c r="AI98" s="386"/>
      <c r="AJ98" s="386"/>
      <c r="AK98" s="388"/>
    </row>
    <row r="99" spans="1:37" s="324" customFormat="1" ht="11.25">
      <c r="A99" s="332"/>
      <c r="B99" s="333"/>
      <c r="C99" s="333"/>
      <c r="D99" s="333"/>
      <c r="E99" s="333"/>
      <c r="F99" s="333"/>
      <c r="G99" s="334"/>
      <c r="H99" s="334"/>
      <c r="I99" s="334"/>
      <c r="J99" s="334"/>
      <c r="K99" s="334"/>
      <c r="L99" s="334"/>
      <c r="M99" s="334"/>
      <c r="N99" s="334"/>
      <c r="O99" s="334"/>
      <c r="P99" s="334"/>
      <c r="Q99" s="334"/>
      <c r="R99" s="334"/>
      <c r="S99" s="334"/>
      <c r="T99" s="334"/>
      <c r="U99" s="334"/>
      <c r="V99" s="333"/>
      <c r="W99" s="333"/>
      <c r="X99" s="333"/>
      <c r="Y99" s="333"/>
      <c r="Z99" s="389"/>
      <c r="AA99" s="389"/>
      <c r="AB99" s="389"/>
      <c r="AC99" s="389"/>
      <c r="AD99" s="390"/>
      <c r="AE99" s="390"/>
      <c r="AF99" s="390"/>
      <c r="AG99" s="390"/>
      <c r="AH99" s="389"/>
      <c r="AI99" s="389"/>
      <c r="AJ99" s="389"/>
      <c r="AK99" s="391"/>
    </row>
    <row r="100" spans="1:37" s="324" customFormat="1" ht="11.25">
      <c r="G100" s="322"/>
      <c r="H100" s="322"/>
      <c r="I100" s="322"/>
      <c r="J100" s="322"/>
      <c r="K100" s="322"/>
      <c r="L100" s="322"/>
      <c r="M100" s="322"/>
      <c r="N100" s="322"/>
      <c r="O100" s="322"/>
      <c r="P100" s="322"/>
      <c r="Q100" s="322"/>
      <c r="R100" s="322"/>
      <c r="S100" s="322"/>
      <c r="T100" s="322"/>
      <c r="U100" s="322"/>
    </row>
    <row r="101" spans="1:37" s="324" customFormat="1" ht="11.25">
      <c r="G101" s="322"/>
      <c r="H101" s="322"/>
      <c r="I101" s="322"/>
      <c r="J101" s="322"/>
      <c r="K101" s="322"/>
      <c r="L101" s="322"/>
      <c r="M101" s="322"/>
      <c r="N101" s="322"/>
      <c r="O101" s="322"/>
      <c r="P101" s="322"/>
      <c r="Q101" s="322"/>
      <c r="R101" s="322"/>
      <c r="S101" s="322"/>
      <c r="T101" s="322"/>
      <c r="U101" s="322"/>
    </row>
    <row r="102" spans="1:37" s="324" customFormat="1" ht="11.25">
      <c r="G102" s="322"/>
      <c r="H102" s="322"/>
      <c r="I102" s="322"/>
      <c r="J102" s="322"/>
      <c r="K102" s="322"/>
      <c r="L102" s="322"/>
      <c r="M102" s="322"/>
      <c r="N102" s="322"/>
      <c r="O102" s="322"/>
      <c r="P102" s="322"/>
      <c r="Q102" s="322"/>
      <c r="R102" s="322"/>
      <c r="S102" s="322"/>
      <c r="T102" s="322"/>
      <c r="U102" s="322"/>
    </row>
    <row r="103" spans="1:37" s="324" customFormat="1" ht="11.25">
      <c r="G103" s="322"/>
      <c r="H103" s="322"/>
      <c r="I103" s="322"/>
      <c r="J103" s="322"/>
      <c r="K103" s="322"/>
      <c r="L103" s="322"/>
      <c r="M103" s="322"/>
      <c r="N103" s="322"/>
      <c r="O103" s="322"/>
      <c r="P103" s="322"/>
      <c r="Q103" s="322"/>
      <c r="R103" s="322"/>
      <c r="S103" s="322"/>
      <c r="T103" s="322"/>
      <c r="U103" s="322"/>
    </row>
    <row r="104" spans="1:37" s="324" customFormat="1" ht="11.25">
      <c r="G104" s="322"/>
      <c r="H104" s="322"/>
      <c r="I104" s="322"/>
      <c r="J104" s="322"/>
      <c r="K104" s="322"/>
      <c r="L104" s="322"/>
      <c r="M104" s="322"/>
      <c r="N104" s="322"/>
      <c r="O104" s="322"/>
      <c r="P104" s="322"/>
      <c r="Q104" s="322"/>
      <c r="R104" s="322"/>
      <c r="S104" s="322"/>
      <c r="T104" s="322"/>
      <c r="U104" s="322"/>
    </row>
    <row r="105" spans="1:37" s="324" customFormat="1" ht="11.25">
      <c r="G105" s="322"/>
      <c r="H105" s="322"/>
      <c r="I105" s="322"/>
      <c r="J105" s="322"/>
      <c r="K105" s="322"/>
      <c r="L105" s="322"/>
      <c r="M105" s="322"/>
      <c r="N105" s="322"/>
      <c r="O105" s="322"/>
      <c r="P105" s="322"/>
      <c r="Q105" s="322"/>
      <c r="R105" s="322"/>
      <c r="S105" s="322"/>
      <c r="T105" s="322"/>
      <c r="U105" s="322"/>
    </row>
    <row r="106" spans="1:37" s="324" customFormat="1" ht="11.25">
      <c r="G106" s="322"/>
      <c r="H106" s="322"/>
      <c r="I106" s="322"/>
      <c r="J106" s="322"/>
      <c r="K106" s="322"/>
      <c r="L106" s="322"/>
      <c r="M106" s="322"/>
      <c r="N106" s="322"/>
      <c r="O106" s="322"/>
      <c r="P106" s="322"/>
      <c r="Q106" s="322"/>
      <c r="R106" s="322"/>
      <c r="S106" s="322"/>
      <c r="T106" s="322"/>
      <c r="U106" s="322"/>
    </row>
    <row r="107" spans="1:37" s="324" customFormat="1" ht="11.25">
      <c r="G107" s="322"/>
      <c r="H107" s="322"/>
      <c r="I107" s="322"/>
      <c r="J107" s="322"/>
      <c r="K107" s="322"/>
      <c r="L107" s="322"/>
      <c r="M107" s="322"/>
      <c r="N107" s="322"/>
      <c r="O107" s="322"/>
      <c r="P107" s="322"/>
      <c r="Q107" s="322"/>
      <c r="R107" s="322"/>
      <c r="S107" s="322"/>
      <c r="T107" s="322"/>
      <c r="U107" s="322"/>
    </row>
    <row r="108" spans="1:37" s="324" customFormat="1" ht="11.25">
      <c r="G108" s="322"/>
      <c r="H108" s="322"/>
      <c r="I108" s="322"/>
      <c r="J108" s="322"/>
      <c r="K108" s="322"/>
      <c r="L108" s="322"/>
      <c r="M108" s="322"/>
      <c r="N108" s="322"/>
      <c r="O108" s="322"/>
      <c r="P108" s="322"/>
      <c r="Q108" s="322"/>
      <c r="R108" s="322"/>
      <c r="S108" s="322"/>
      <c r="T108" s="322"/>
      <c r="U108" s="322"/>
    </row>
    <row r="109" spans="1:37" s="324" customFormat="1" ht="11.25">
      <c r="G109" s="322"/>
      <c r="H109" s="322"/>
      <c r="I109" s="322"/>
      <c r="J109" s="322"/>
      <c r="K109" s="322"/>
      <c r="L109" s="322"/>
      <c r="M109" s="322"/>
      <c r="N109" s="322"/>
      <c r="O109" s="322"/>
      <c r="P109" s="322"/>
      <c r="Q109" s="322"/>
      <c r="R109" s="322"/>
      <c r="S109" s="322"/>
      <c r="T109" s="322"/>
      <c r="U109" s="322"/>
    </row>
    <row r="110" spans="1:37" s="324" customFormat="1" ht="11.25">
      <c r="G110" s="322"/>
      <c r="H110" s="322"/>
      <c r="I110" s="322"/>
      <c r="J110" s="322"/>
      <c r="K110" s="322"/>
      <c r="L110" s="322"/>
      <c r="M110" s="322"/>
      <c r="N110" s="322"/>
      <c r="O110" s="322"/>
      <c r="P110" s="322"/>
      <c r="Q110" s="322"/>
      <c r="R110" s="322"/>
      <c r="S110" s="322"/>
      <c r="T110" s="322"/>
      <c r="U110" s="322"/>
    </row>
    <row r="111" spans="1:37" s="324" customFormat="1" ht="11.25">
      <c r="G111" s="322"/>
      <c r="H111" s="322"/>
      <c r="I111" s="322"/>
      <c r="J111" s="322"/>
      <c r="K111" s="322"/>
      <c r="L111" s="322"/>
      <c r="M111" s="322"/>
      <c r="N111" s="322"/>
      <c r="O111" s="322"/>
      <c r="P111" s="322"/>
      <c r="Q111" s="322"/>
      <c r="R111" s="322"/>
      <c r="S111" s="322"/>
      <c r="T111" s="322"/>
      <c r="U111" s="322"/>
    </row>
    <row r="112" spans="1:37" s="324" customFormat="1" ht="11.25">
      <c r="G112" s="322"/>
      <c r="H112" s="322"/>
      <c r="I112" s="322"/>
      <c r="J112" s="322"/>
      <c r="K112" s="322"/>
      <c r="L112" s="322"/>
      <c r="M112" s="322"/>
      <c r="N112" s="322"/>
      <c r="O112" s="322"/>
      <c r="P112" s="322"/>
      <c r="Q112" s="322"/>
      <c r="R112" s="322"/>
      <c r="S112" s="322"/>
      <c r="T112" s="322"/>
      <c r="U112" s="322"/>
    </row>
    <row r="113" spans="7:21" s="324" customFormat="1" ht="11.25">
      <c r="G113" s="322"/>
      <c r="H113" s="322"/>
      <c r="I113" s="322"/>
      <c r="J113" s="322"/>
      <c r="K113" s="322"/>
      <c r="L113" s="322"/>
      <c r="M113" s="322"/>
      <c r="N113" s="322"/>
      <c r="O113" s="322"/>
      <c r="P113" s="322"/>
      <c r="Q113" s="322"/>
      <c r="R113" s="322"/>
      <c r="S113" s="322"/>
      <c r="T113" s="322"/>
      <c r="U113" s="322"/>
    </row>
    <row r="114" spans="7:21" s="324" customFormat="1" ht="11.25">
      <c r="G114" s="322"/>
      <c r="H114" s="322"/>
      <c r="I114" s="322"/>
      <c r="J114" s="322"/>
      <c r="K114" s="322"/>
      <c r="L114" s="322"/>
      <c r="M114" s="322"/>
      <c r="N114" s="322"/>
      <c r="O114" s="322"/>
      <c r="P114" s="322"/>
      <c r="Q114" s="322"/>
      <c r="R114" s="322"/>
      <c r="S114" s="322"/>
      <c r="T114" s="322"/>
      <c r="U114" s="322"/>
    </row>
    <row r="115" spans="7:21" s="324" customFormat="1" ht="11.25">
      <c r="G115" s="322"/>
      <c r="H115" s="322"/>
      <c r="I115" s="322"/>
      <c r="J115" s="322"/>
      <c r="K115" s="322"/>
      <c r="L115" s="322"/>
      <c r="M115" s="322"/>
      <c r="N115" s="322"/>
      <c r="O115" s="322"/>
      <c r="P115" s="322"/>
      <c r="Q115" s="322"/>
      <c r="R115" s="322"/>
      <c r="S115" s="322"/>
      <c r="T115" s="322"/>
      <c r="U115" s="322"/>
    </row>
    <row r="116" spans="7:21" s="324" customFormat="1" ht="11.25">
      <c r="G116" s="322"/>
      <c r="H116" s="322"/>
      <c r="I116" s="322"/>
      <c r="J116" s="322"/>
      <c r="K116" s="322"/>
      <c r="L116" s="322"/>
      <c r="M116" s="322"/>
      <c r="N116" s="322"/>
      <c r="O116" s="322"/>
      <c r="P116" s="322"/>
      <c r="Q116" s="322"/>
      <c r="R116" s="322"/>
      <c r="S116" s="322"/>
      <c r="T116" s="322"/>
      <c r="U116" s="322"/>
    </row>
    <row r="117" spans="7:21" s="324" customFormat="1" ht="11.25">
      <c r="G117" s="322"/>
      <c r="H117" s="322"/>
      <c r="I117" s="322"/>
      <c r="J117" s="322"/>
      <c r="K117" s="322"/>
      <c r="L117" s="322"/>
      <c r="M117" s="322"/>
      <c r="N117" s="322"/>
      <c r="O117" s="322"/>
      <c r="P117" s="322"/>
      <c r="Q117" s="322"/>
      <c r="R117" s="322"/>
      <c r="S117" s="322"/>
      <c r="T117" s="322"/>
      <c r="U117" s="322"/>
    </row>
    <row r="118" spans="7:21" s="324" customFormat="1" ht="11.25">
      <c r="G118" s="322"/>
      <c r="H118" s="322"/>
      <c r="I118" s="322"/>
      <c r="J118" s="322"/>
      <c r="K118" s="322"/>
      <c r="L118" s="322"/>
      <c r="M118" s="322"/>
      <c r="N118" s="322"/>
      <c r="O118" s="322"/>
      <c r="P118" s="322"/>
      <c r="Q118" s="322"/>
      <c r="R118" s="322"/>
      <c r="S118" s="322"/>
      <c r="T118" s="322"/>
      <c r="U118" s="322"/>
    </row>
    <row r="119" spans="7:21" s="324" customFormat="1" ht="11.25">
      <c r="G119" s="322"/>
      <c r="H119" s="322"/>
      <c r="I119" s="322"/>
      <c r="J119" s="322"/>
      <c r="K119" s="322"/>
      <c r="L119" s="322"/>
      <c r="M119" s="322"/>
      <c r="N119" s="322"/>
      <c r="O119" s="322"/>
      <c r="P119" s="322"/>
      <c r="Q119" s="322"/>
      <c r="R119" s="322"/>
      <c r="S119" s="322"/>
      <c r="T119" s="322"/>
      <c r="U119" s="322"/>
    </row>
    <row r="120" spans="7:21" s="324" customFormat="1" ht="11.25">
      <c r="G120" s="322"/>
      <c r="H120" s="322"/>
      <c r="I120" s="322"/>
      <c r="J120" s="322"/>
      <c r="K120" s="322"/>
      <c r="L120" s="322"/>
      <c r="M120" s="322"/>
      <c r="N120" s="322"/>
      <c r="O120" s="322"/>
      <c r="P120" s="322"/>
      <c r="Q120" s="322"/>
      <c r="R120" s="322"/>
      <c r="S120" s="322"/>
      <c r="T120" s="322"/>
      <c r="U120" s="322"/>
    </row>
    <row r="121" spans="7:21" s="324" customFormat="1" ht="11.25">
      <c r="G121" s="322"/>
      <c r="H121" s="322"/>
      <c r="I121" s="322"/>
      <c r="J121" s="322"/>
      <c r="K121" s="322"/>
      <c r="L121" s="322"/>
      <c r="M121" s="322"/>
      <c r="N121" s="322"/>
      <c r="O121" s="322"/>
      <c r="P121" s="322"/>
      <c r="Q121" s="322"/>
      <c r="R121" s="322"/>
      <c r="S121" s="322"/>
      <c r="T121" s="322"/>
      <c r="U121" s="322"/>
    </row>
    <row r="122" spans="7:21" s="324" customFormat="1" ht="11.25">
      <c r="G122" s="322"/>
      <c r="H122" s="322"/>
      <c r="I122" s="322"/>
      <c r="J122" s="322"/>
      <c r="K122" s="322"/>
      <c r="L122" s="322"/>
      <c r="M122" s="322"/>
      <c r="N122" s="322"/>
      <c r="O122" s="322"/>
      <c r="P122" s="322"/>
      <c r="Q122" s="322"/>
      <c r="R122" s="322"/>
      <c r="S122" s="322"/>
      <c r="T122" s="322"/>
      <c r="U122" s="322"/>
    </row>
    <row r="123" spans="7:21" s="324" customFormat="1" ht="11.25">
      <c r="G123" s="322"/>
      <c r="H123" s="322"/>
      <c r="I123" s="322"/>
      <c r="J123" s="322"/>
      <c r="K123" s="322"/>
      <c r="L123" s="322"/>
      <c r="M123" s="322"/>
      <c r="N123" s="322"/>
      <c r="O123" s="322"/>
      <c r="P123" s="322"/>
      <c r="Q123" s="322"/>
      <c r="R123" s="322"/>
      <c r="S123" s="322"/>
      <c r="T123" s="322"/>
      <c r="U123" s="322"/>
    </row>
    <row r="124" spans="7:21" s="324" customFormat="1" ht="11.25">
      <c r="G124" s="322"/>
      <c r="H124" s="322"/>
      <c r="I124" s="322"/>
      <c r="J124" s="322"/>
      <c r="K124" s="322"/>
      <c r="L124" s="322"/>
      <c r="M124" s="322"/>
      <c r="N124" s="322"/>
      <c r="O124" s="322"/>
      <c r="P124" s="322"/>
      <c r="Q124" s="322"/>
      <c r="R124" s="322"/>
      <c r="S124" s="322"/>
      <c r="T124" s="322"/>
      <c r="U124" s="322"/>
    </row>
    <row r="125" spans="7:21" s="324" customFormat="1" ht="11.25">
      <c r="G125" s="322"/>
      <c r="H125" s="322"/>
      <c r="I125" s="322"/>
      <c r="J125" s="322"/>
      <c r="K125" s="322"/>
      <c r="L125" s="322"/>
      <c r="M125" s="322"/>
      <c r="N125" s="322"/>
      <c r="O125" s="322"/>
      <c r="P125" s="322"/>
      <c r="Q125" s="322"/>
      <c r="R125" s="322"/>
      <c r="S125" s="322"/>
      <c r="T125" s="322"/>
      <c r="U125" s="322"/>
    </row>
    <row r="126" spans="7:21" s="324" customFormat="1" ht="11.25">
      <c r="G126" s="322"/>
      <c r="H126" s="322"/>
      <c r="I126" s="322"/>
      <c r="J126" s="322"/>
      <c r="K126" s="322"/>
      <c r="L126" s="322"/>
      <c r="M126" s="322"/>
      <c r="N126" s="322"/>
      <c r="O126" s="322"/>
      <c r="P126" s="322"/>
      <c r="Q126" s="322"/>
      <c r="R126" s="322"/>
      <c r="S126" s="322"/>
      <c r="T126" s="322"/>
      <c r="U126" s="322"/>
    </row>
    <row r="127" spans="7:21" s="324" customFormat="1" ht="11.25">
      <c r="G127" s="322"/>
      <c r="H127" s="322"/>
      <c r="I127" s="322"/>
      <c r="J127" s="322"/>
      <c r="K127" s="322"/>
      <c r="L127" s="322"/>
      <c r="M127" s="322"/>
      <c r="N127" s="322"/>
      <c r="O127" s="322"/>
      <c r="P127" s="322"/>
      <c r="Q127" s="322"/>
      <c r="R127" s="322"/>
      <c r="S127" s="322"/>
      <c r="T127" s="322"/>
      <c r="U127" s="322"/>
    </row>
    <row r="128" spans="7:21" s="324" customFormat="1" ht="11.25">
      <c r="G128" s="322"/>
      <c r="H128" s="322"/>
      <c r="I128" s="322"/>
      <c r="J128" s="322"/>
      <c r="K128" s="322"/>
      <c r="L128" s="322"/>
      <c r="M128" s="322"/>
      <c r="N128" s="322"/>
      <c r="O128" s="322"/>
      <c r="P128" s="322"/>
      <c r="Q128" s="322"/>
      <c r="R128" s="322"/>
      <c r="S128" s="322"/>
      <c r="T128" s="322"/>
      <c r="U128" s="322"/>
    </row>
    <row r="129" spans="7:21" s="324" customFormat="1" ht="11.25">
      <c r="G129" s="322"/>
      <c r="H129" s="322"/>
      <c r="I129" s="322"/>
      <c r="J129" s="322"/>
      <c r="K129" s="322"/>
      <c r="L129" s="322"/>
      <c r="M129" s="322"/>
      <c r="N129" s="322"/>
      <c r="O129" s="322"/>
      <c r="P129" s="322"/>
      <c r="Q129" s="322"/>
      <c r="R129" s="322"/>
      <c r="S129" s="322"/>
      <c r="T129" s="322"/>
      <c r="U129" s="322"/>
    </row>
    <row r="130" spans="7:21" s="324" customFormat="1" ht="11.25">
      <c r="G130" s="322"/>
      <c r="H130" s="322"/>
      <c r="I130" s="322"/>
      <c r="J130" s="322"/>
      <c r="K130" s="322"/>
      <c r="L130" s="322"/>
      <c r="M130" s="322"/>
      <c r="N130" s="322"/>
      <c r="O130" s="322"/>
      <c r="P130" s="322"/>
      <c r="Q130" s="322"/>
      <c r="R130" s="322"/>
      <c r="S130" s="322"/>
      <c r="T130" s="322"/>
      <c r="U130" s="322"/>
    </row>
    <row r="131" spans="7:21" s="324" customFormat="1" ht="11.25">
      <c r="G131" s="322"/>
      <c r="H131" s="322"/>
      <c r="I131" s="322"/>
      <c r="J131" s="322"/>
      <c r="K131" s="322"/>
      <c r="L131" s="322"/>
      <c r="M131" s="322"/>
      <c r="N131" s="322"/>
      <c r="O131" s="322"/>
      <c r="P131" s="322"/>
      <c r="Q131" s="322"/>
      <c r="R131" s="322"/>
      <c r="S131" s="322"/>
      <c r="T131" s="322"/>
      <c r="U131" s="322"/>
    </row>
    <row r="132" spans="7:21" s="324" customFormat="1" ht="11.25">
      <c r="G132" s="322"/>
      <c r="H132" s="322"/>
      <c r="I132" s="322"/>
      <c r="J132" s="322"/>
      <c r="K132" s="322"/>
      <c r="L132" s="322"/>
      <c r="M132" s="322"/>
      <c r="N132" s="322"/>
      <c r="O132" s="322"/>
      <c r="P132" s="322"/>
      <c r="Q132" s="322"/>
      <c r="R132" s="322"/>
      <c r="S132" s="322"/>
      <c r="T132" s="322"/>
      <c r="U132" s="322"/>
    </row>
    <row r="133" spans="7:21" s="324" customFormat="1" ht="11.25">
      <c r="G133" s="322"/>
      <c r="H133" s="322"/>
      <c r="I133" s="322"/>
      <c r="J133" s="322"/>
      <c r="K133" s="322"/>
      <c r="L133" s="322"/>
      <c r="M133" s="322"/>
      <c r="N133" s="322"/>
      <c r="O133" s="322"/>
      <c r="P133" s="322"/>
      <c r="Q133" s="322"/>
      <c r="R133" s="322"/>
      <c r="S133" s="322"/>
      <c r="T133" s="322"/>
      <c r="U133" s="322"/>
    </row>
    <row r="134" spans="7:21" s="324" customFormat="1" ht="11.25">
      <c r="G134" s="322"/>
      <c r="H134" s="322"/>
      <c r="I134" s="322"/>
      <c r="J134" s="322"/>
      <c r="K134" s="322"/>
      <c r="L134" s="322"/>
      <c r="M134" s="322"/>
      <c r="N134" s="322"/>
      <c r="O134" s="322"/>
      <c r="P134" s="322"/>
      <c r="Q134" s="322"/>
      <c r="R134" s="322"/>
      <c r="S134" s="322"/>
      <c r="T134" s="322"/>
      <c r="U134" s="322"/>
    </row>
    <row r="135" spans="7:21" s="324" customFormat="1" ht="11.25">
      <c r="G135" s="322"/>
      <c r="H135" s="322"/>
      <c r="I135" s="322"/>
      <c r="J135" s="322"/>
      <c r="K135" s="322"/>
      <c r="L135" s="322"/>
      <c r="M135" s="322"/>
      <c r="N135" s="322"/>
      <c r="O135" s="322"/>
      <c r="P135" s="322"/>
      <c r="Q135" s="322"/>
      <c r="R135" s="322"/>
      <c r="S135" s="322"/>
      <c r="T135" s="322"/>
      <c r="U135" s="322"/>
    </row>
    <row r="136" spans="7:21" s="324" customFormat="1" ht="11.25">
      <c r="G136" s="322"/>
      <c r="H136" s="322"/>
      <c r="I136" s="322"/>
      <c r="J136" s="322"/>
      <c r="K136" s="322"/>
      <c r="L136" s="322"/>
      <c r="M136" s="322"/>
      <c r="N136" s="322"/>
      <c r="O136" s="322"/>
      <c r="P136" s="322"/>
      <c r="Q136" s="322"/>
      <c r="R136" s="322"/>
      <c r="S136" s="322"/>
      <c r="T136" s="322"/>
      <c r="U136" s="322"/>
    </row>
    <row r="137" spans="7:21" s="324" customFormat="1" ht="11.25">
      <c r="G137" s="322"/>
      <c r="H137" s="322"/>
      <c r="I137" s="322"/>
      <c r="J137" s="322"/>
      <c r="K137" s="322"/>
      <c r="L137" s="322"/>
      <c r="M137" s="322"/>
      <c r="N137" s="322"/>
      <c r="O137" s="322"/>
      <c r="P137" s="322"/>
      <c r="Q137" s="322"/>
      <c r="R137" s="322"/>
      <c r="S137" s="322"/>
      <c r="T137" s="322"/>
      <c r="U137" s="322"/>
    </row>
    <row r="138" spans="7:21" s="324" customFormat="1" ht="11.25">
      <c r="G138" s="322"/>
      <c r="H138" s="322"/>
      <c r="I138" s="322"/>
      <c r="J138" s="322"/>
      <c r="K138" s="322"/>
      <c r="L138" s="322"/>
      <c r="M138" s="322"/>
      <c r="N138" s="322"/>
      <c r="O138" s="322"/>
      <c r="P138" s="322"/>
      <c r="Q138" s="322"/>
      <c r="R138" s="322"/>
      <c r="S138" s="322"/>
      <c r="T138" s="322"/>
      <c r="U138" s="322"/>
    </row>
    <row r="139" spans="7:21" s="324" customFormat="1" ht="11.25">
      <c r="G139" s="322"/>
      <c r="H139" s="322"/>
      <c r="I139" s="322"/>
      <c r="J139" s="322"/>
      <c r="K139" s="322"/>
      <c r="L139" s="322"/>
      <c r="M139" s="322"/>
      <c r="N139" s="322"/>
      <c r="O139" s="322"/>
      <c r="P139" s="322"/>
      <c r="Q139" s="322"/>
      <c r="R139" s="322"/>
      <c r="S139" s="322"/>
      <c r="T139" s="322"/>
      <c r="U139" s="322"/>
    </row>
    <row r="140" spans="7:21" s="324" customFormat="1" ht="11.25">
      <c r="G140" s="322"/>
      <c r="H140" s="322"/>
      <c r="I140" s="322"/>
      <c r="J140" s="322"/>
      <c r="K140" s="322"/>
      <c r="L140" s="322"/>
      <c r="M140" s="322"/>
      <c r="N140" s="322"/>
      <c r="O140" s="322"/>
      <c r="P140" s="322"/>
      <c r="Q140" s="322"/>
      <c r="R140" s="322"/>
      <c r="S140" s="322"/>
      <c r="T140" s="322"/>
      <c r="U140" s="322"/>
    </row>
    <row r="141" spans="7:21" s="324" customFormat="1" ht="11.25">
      <c r="G141" s="322"/>
      <c r="H141" s="322"/>
      <c r="I141" s="322"/>
      <c r="J141" s="322"/>
      <c r="K141" s="322"/>
      <c r="L141" s="322"/>
      <c r="M141" s="322"/>
      <c r="N141" s="322"/>
      <c r="O141" s="322"/>
      <c r="P141" s="322"/>
      <c r="Q141" s="322"/>
      <c r="R141" s="322"/>
      <c r="S141" s="322"/>
      <c r="T141" s="322"/>
      <c r="U141" s="322"/>
    </row>
    <row r="142" spans="7:21" s="324" customFormat="1" ht="11.25">
      <c r="G142" s="322"/>
      <c r="H142" s="322"/>
      <c r="I142" s="322"/>
      <c r="J142" s="322"/>
      <c r="K142" s="322"/>
      <c r="L142" s="322"/>
      <c r="M142" s="322"/>
      <c r="N142" s="322"/>
      <c r="O142" s="322"/>
      <c r="P142" s="322"/>
      <c r="Q142" s="322"/>
      <c r="R142" s="322"/>
      <c r="S142" s="322"/>
      <c r="T142" s="322"/>
      <c r="U142" s="322"/>
    </row>
    <row r="143" spans="7:21" s="324" customFormat="1" ht="11.25">
      <c r="G143" s="322"/>
      <c r="H143" s="322"/>
      <c r="I143" s="322"/>
      <c r="J143" s="322"/>
      <c r="K143" s="322"/>
      <c r="L143" s="322"/>
      <c r="M143" s="322"/>
      <c r="N143" s="322"/>
      <c r="O143" s="322"/>
      <c r="P143" s="322"/>
      <c r="Q143" s="322"/>
      <c r="R143" s="322"/>
      <c r="S143" s="322"/>
      <c r="T143" s="322"/>
      <c r="U143" s="322"/>
    </row>
    <row r="144" spans="7:21" s="324" customFormat="1" ht="11.25">
      <c r="G144" s="322"/>
      <c r="H144" s="322"/>
      <c r="I144" s="322"/>
      <c r="J144" s="322"/>
      <c r="K144" s="322"/>
      <c r="L144" s="322"/>
      <c r="M144" s="322"/>
      <c r="N144" s="322"/>
      <c r="O144" s="322"/>
      <c r="P144" s="322"/>
      <c r="Q144" s="322"/>
      <c r="R144" s="322"/>
      <c r="S144" s="322"/>
      <c r="T144" s="322"/>
      <c r="U144" s="322"/>
    </row>
    <row r="145" spans="7:21" s="324" customFormat="1" ht="11.25">
      <c r="G145" s="322"/>
      <c r="H145" s="322"/>
      <c r="I145" s="322"/>
      <c r="J145" s="322"/>
      <c r="K145" s="322"/>
      <c r="L145" s="322"/>
      <c r="M145" s="322"/>
      <c r="N145" s="322"/>
      <c r="O145" s="322"/>
      <c r="P145" s="322"/>
      <c r="Q145" s="322"/>
      <c r="R145" s="322"/>
      <c r="S145" s="322"/>
      <c r="T145" s="322"/>
      <c r="U145" s="322"/>
    </row>
    <row r="146" spans="7:21" s="324" customFormat="1" ht="11.25">
      <c r="G146" s="322"/>
      <c r="H146" s="322"/>
      <c r="I146" s="322"/>
      <c r="J146" s="322"/>
      <c r="K146" s="322"/>
      <c r="L146" s="322"/>
      <c r="M146" s="322"/>
      <c r="N146" s="322"/>
      <c r="O146" s="322"/>
      <c r="P146" s="322"/>
      <c r="Q146" s="322"/>
      <c r="R146" s="322"/>
      <c r="S146" s="322"/>
      <c r="T146" s="322"/>
      <c r="U146" s="322"/>
    </row>
    <row r="147" spans="7:21" s="324" customFormat="1" ht="11.25">
      <c r="G147" s="322"/>
      <c r="H147" s="322"/>
      <c r="I147" s="322"/>
      <c r="J147" s="322"/>
      <c r="K147" s="322"/>
      <c r="L147" s="322"/>
      <c r="M147" s="322"/>
      <c r="N147" s="322"/>
      <c r="O147" s="322"/>
      <c r="P147" s="322"/>
      <c r="Q147" s="322"/>
      <c r="R147" s="322"/>
      <c r="S147" s="322"/>
      <c r="T147" s="322"/>
      <c r="U147" s="322"/>
    </row>
    <row r="148" spans="7:21" s="324" customFormat="1" ht="11.25">
      <c r="G148" s="322"/>
      <c r="H148" s="322"/>
      <c r="I148" s="322"/>
      <c r="J148" s="322"/>
      <c r="K148" s="322"/>
      <c r="L148" s="322"/>
      <c r="M148" s="322"/>
      <c r="N148" s="322"/>
      <c r="O148" s="322"/>
      <c r="P148" s="322"/>
      <c r="Q148" s="322"/>
      <c r="R148" s="322"/>
      <c r="S148" s="322"/>
      <c r="T148" s="322"/>
      <c r="U148" s="322"/>
    </row>
    <row r="149" spans="7:21" s="324" customFormat="1" ht="11.25">
      <c r="G149" s="322"/>
      <c r="H149" s="322"/>
      <c r="I149" s="322"/>
      <c r="J149" s="322"/>
      <c r="K149" s="322"/>
      <c r="L149" s="322"/>
      <c r="M149" s="322"/>
      <c r="N149" s="322"/>
      <c r="O149" s="322"/>
      <c r="P149" s="322"/>
      <c r="Q149" s="322"/>
      <c r="R149" s="322"/>
      <c r="S149" s="322"/>
      <c r="T149" s="322"/>
      <c r="U149" s="322"/>
    </row>
    <row r="150" spans="7:21" s="324" customFormat="1" ht="11.25">
      <c r="G150" s="322"/>
      <c r="H150" s="322"/>
      <c r="I150" s="322"/>
      <c r="J150" s="322"/>
      <c r="K150" s="322"/>
      <c r="L150" s="322"/>
      <c r="M150" s="322"/>
      <c r="N150" s="322"/>
      <c r="O150" s="322"/>
      <c r="P150" s="322"/>
      <c r="Q150" s="322"/>
      <c r="R150" s="322"/>
      <c r="S150" s="322"/>
      <c r="T150" s="322"/>
      <c r="U150" s="322"/>
    </row>
    <row r="151" spans="7:21" s="324" customFormat="1" ht="11.25">
      <c r="G151" s="322"/>
      <c r="H151" s="322"/>
      <c r="I151" s="322"/>
      <c r="J151" s="322"/>
      <c r="K151" s="322"/>
      <c r="L151" s="322"/>
      <c r="M151" s="322"/>
      <c r="N151" s="322"/>
      <c r="O151" s="322"/>
      <c r="P151" s="322"/>
      <c r="Q151" s="322"/>
      <c r="R151" s="322"/>
      <c r="S151" s="322"/>
      <c r="T151" s="322"/>
      <c r="U151" s="322"/>
    </row>
    <row r="152" spans="7:21" s="324" customFormat="1" ht="11.25">
      <c r="G152" s="322"/>
      <c r="H152" s="322"/>
      <c r="I152" s="322"/>
      <c r="J152" s="322"/>
      <c r="K152" s="322"/>
      <c r="L152" s="322"/>
      <c r="M152" s="322"/>
      <c r="N152" s="322"/>
      <c r="O152" s="322"/>
      <c r="P152" s="322"/>
      <c r="Q152" s="322"/>
      <c r="R152" s="322"/>
      <c r="S152" s="322"/>
      <c r="T152" s="322"/>
      <c r="U152" s="322"/>
    </row>
    <row r="153" spans="7:21" s="324" customFormat="1" ht="11.25">
      <c r="G153" s="322"/>
      <c r="H153" s="322"/>
      <c r="I153" s="322"/>
      <c r="J153" s="322"/>
      <c r="K153" s="322"/>
      <c r="L153" s="322"/>
      <c r="M153" s="322"/>
      <c r="N153" s="322"/>
      <c r="O153" s="322"/>
      <c r="P153" s="322"/>
      <c r="Q153" s="322"/>
      <c r="R153" s="322"/>
      <c r="S153" s="322"/>
      <c r="T153" s="322"/>
      <c r="U153" s="322"/>
    </row>
    <row r="154" spans="7:21" s="324" customFormat="1" ht="11.25">
      <c r="G154" s="322"/>
      <c r="H154" s="322"/>
      <c r="I154" s="322"/>
      <c r="J154" s="322"/>
      <c r="K154" s="322"/>
      <c r="L154" s="322"/>
      <c r="M154" s="322"/>
      <c r="N154" s="322"/>
      <c r="O154" s="322"/>
      <c r="P154" s="322"/>
      <c r="Q154" s="322"/>
      <c r="R154" s="322"/>
      <c r="S154" s="322"/>
      <c r="T154" s="322"/>
      <c r="U154" s="322"/>
    </row>
    <row r="155" spans="7:21" s="324" customFormat="1" ht="11.25">
      <c r="G155" s="322"/>
      <c r="H155" s="322"/>
      <c r="I155" s="322"/>
      <c r="J155" s="322"/>
      <c r="K155" s="322"/>
      <c r="L155" s="322"/>
      <c r="M155" s="322"/>
      <c r="N155" s="322"/>
      <c r="O155" s="322"/>
      <c r="P155" s="322"/>
      <c r="Q155" s="322"/>
      <c r="R155" s="322"/>
      <c r="S155" s="322"/>
      <c r="T155" s="322"/>
      <c r="U155" s="322"/>
    </row>
    <row r="156" spans="7:21" s="324" customFormat="1" ht="11.25">
      <c r="G156" s="322"/>
      <c r="H156" s="322"/>
      <c r="I156" s="322"/>
      <c r="J156" s="322"/>
      <c r="K156" s="322"/>
      <c r="L156" s="322"/>
      <c r="M156" s="322"/>
      <c r="N156" s="322"/>
      <c r="O156" s="322"/>
      <c r="P156" s="322"/>
      <c r="Q156" s="322"/>
      <c r="R156" s="322"/>
      <c r="S156" s="322"/>
      <c r="T156" s="322"/>
      <c r="U156" s="322"/>
    </row>
    <row r="157" spans="7:21" s="324" customFormat="1" ht="11.25">
      <c r="G157" s="322"/>
      <c r="H157" s="322"/>
      <c r="I157" s="322"/>
      <c r="J157" s="322"/>
      <c r="K157" s="322"/>
      <c r="L157" s="322"/>
      <c r="M157" s="322"/>
      <c r="N157" s="322"/>
      <c r="O157" s="322"/>
      <c r="P157" s="322"/>
      <c r="Q157" s="322"/>
      <c r="R157" s="322"/>
      <c r="S157" s="322"/>
      <c r="T157" s="322"/>
      <c r="U157" s="322"/>
    </row>
    <row r="158" spans="7:21" s="324" customFormat="1" ht="11.25">
      <c r="G158" s="322"/>
      <c r="H158" s="322"/>
      <c r="I158" s="322"/>
      <c r="J158" s="322"/>
      <c r="K158" s="322"/>
      <c r="L158" s="322"/>
      <c r="M158" s="322"/>
      <c r="N158" s="322"/>
      <c r="O158" s="322"/>
      <c r="P158" s="322"/>
      <c r="Q158" s="322"/>
      <c r="R158" s="322"/>
      <c r="S158" s="322"/>
      <c r="T158" s="322"/>
      <c r="U158" s="322"/>
    </row>
    <row r="159" spans="7:21" s="324" customFormat="1" ht="11.25">
      <c r="G159" s="322"/>
      <c r="H159" s="322"/>
      <c r="I159" s="322"/>
      <c r="J159" s="322"/>
      <c r="K159" s="322"/>
      <c r="L159" s="322"/>
      <c r="M159" s="322"/>
      <c r="N159" s="322"/>
      <c r="O159" s="322"/>
      <c r="P159" s="322"/>
      <c r="Q159" s="322"/>
      <c r="R159" s="322"/>
      <c r="S159" s="322"/>
      <c r="T159" s="322"/>
      <c r="U159" s="322"/>
    </row>
    <row r="160" spans="7:21" s="324" customFormat="1" ht="11.25">
      <c r="G160" s="322"/>
      <c r="H160" s="322"/>
      <c r="I160" s="322"/>
      <c r="J160" s="322"/>
      <c r="K160" s="322"/>
      <c r="L160" s="322"/>
      <c r="M160" s="322"/>
      <c r="N160" s="322"/>
      <c r="O160" s="322"/>
      <c r="P160" s="322"/>
      <c r="Q160" s="322"/>
      <c r="R160" s="322"/>
      <c r="S160" s="322"/>
      <c r="T160" s="322"/>
      <c r="U160" s="322"/>
    </row>
    <row r="161" spans="1:37" s="324" customFormat="1" ht="11.25">
      <c r="G161" s="322"/>
      <c r="H161" s="322"/>
      <c r="I161" s="322"/>
      <c r="J161" s="322"/>
      <c r="K161" s="322"/>
      <c r="L161" s="322"/>
      <c r="M161" s="322"/>
      <c r="N161" s="322"/>
      <c r="O161" s="322"/>
      <c r="P161" s="322"/>
      <c r="Q161" s="322"/>
      <c r="R161" s="322"/>
      <c r="S161" s="322"/>
      <c r="T161" s="322"/>
      <c r="U161" s="322"/>
    </row>
    <row r="162" spans="1:37">
      <c r="A162" s="324"/>
      <c r="B162" s="324"/>
      <c r="C162" s="324"/>
      <c r="D162" s="324"/>
      <c r="F162" s="324"/>
      <c r="G162" s="322"/>
      <c r="H162" s="322"/>
      <c r="I162" s="322"/>
      <c r="J162" s="322"/>
      <c r="K162" s="322"/>
      <c r="L162" s="322"/>
      <c r="M162" s="322"/>
      <c r="N162" s="322"/>
      <c r="O162" s="322"/>
      <c r="P162" s="322"/>
      <c r="Q162" s="322"/>
      <c r="R162" s="322"/>
      <c r="S162" s="322"/>
      <c r="T162" s="322"/>
      <c r="U162" s="322"/>
      <c r="V162" s="324"/>
      <c r="W162" s="324"/>
      <c r="X162" s="324"/>
      <c r="Y162" s="324"/>
      <c r="Z162" s="324"/>
      <c r="AA162" s="324"/>
      <c r="AB162" s="324"/>
      <c r="AC162" s="324"/>
      <c r="AD162" s="324"/>
      <c r="AE162" s="324"/>
      <c r="AF162" s="324"/>
      <c r="AG162" s="324"/>
      <c r="AH162" s="324"/>
      <c r="AI162" s="324"/>
      <c r="AJ162" s="324"/>
      <c r="AK162" s="324"/>
    </row>
    <row r="163" spans="1:37">
      <c r="A163" s="324"/>
      <c r="B163" s="324"/>
      <c r="C163" s="324"/>
      <c r="D163" s="324"/>
      <c r="F163" s="324"/>
      <c r="G163" s="322"/>
      <c r="H163" s="322"/>
      <c r="I163" s="322"/>
      <c r="J163" s="322"/>
      <c r="K163" s="322"/>
      <c r="L163" s="322"/>
      <c r="M163" s="322"/>
      <c r="N163" s="322"/>
      <c r="O163" s="322"/>
      <c r="P163" s="322"/>
      <c r="Q163" s="322"/>
      <c r="R163" s="322"/>
      <c r="S163" s="322"/>
      <c r="T163" s="322"/>
      <c r="U163" s="322"/>
      <c r="V163" s="324"/>
      <c r="W163" s="324"/>
      <c r="X163" s="324"/>
      <c r="Y163" s="324"/>
      <c r="Z163" s="324"/>
      <c r="AA163" s="324"/>
      <c r="AB163" s="324"/>
      <c r="AC163" s="324"/>
      <c r="AD163" s="324"/>
      <c r="AE163" s="324"/>
      <c r="AF163" s="324"/>
      <c r="AG163" s="324"/>
      <c r="AH163" s="324"/>
      <c r="AI163" s="324"/>
      <c r="AJ163" s="324"/>
      <c r="AK163" s="324"/>
    </row>
    <row r="164" spans="1:37">
      <c r="A164" s="324"/>
      <c r="B164" s="324"/>
      <c r="C164" s="324"/>
      <c r="D164" s="324"/>
      <c r="F164" s="324"/>
      <c r="G164" s="322"/>
      <c r="H164" s="322"/>
      <c r="I164" s="322"/>
      <c r="J164" s="322"/>
      <c r="K164" s="322"/>
      <c r="L164" s="322"/>
      <c r="M164" s="322"/>
      <c r="N164" s="322"/>
      <c r="O164" s="322"/>
      <c r="P164" s="322"/>
      <c r="Q164" s="322"/>
      <c r="R164" s="322"/>
      <c r="S164" s="322"/>
      <c r="T164" s="322"/>
      <c r="U164" s="322"/>
      <c r="V164" s="324"/>
      <c r="W164" s="324"/>
      <c r="X164" s="324"/>
      <c r="Y164" s="324"/>
      <c r="Z164" s="324"/>
      <c r="AA164" s="324"/>
      <c r="AB164" s="324"/>
      <c r="AC164" s="324"/>
      <c r="AD164" s="324"/>
      <c r="AE164" s="324"/>
      <c r="AF164" s="324"/>
      <c r="AG164" s="324"/>
      <c r="AH164" s="324"/>
      <c r="AI164" s="324"/>
      <c r="AJ164" s="324"/>
      <c r="AK164" s="324"/>
    </row>
    <row r="165" spans="1:37">
      <c r="A165" s="324"/>
      <c r="B165" s="324"/>
      <c r="C165" s="324"/>
      <c r="D165" s="324"/>
      <c r="F165" s="324"/>
      <c r="G165" s="322"/>
      <c r="H165" s="322"/>
      <c r="I165" s="322"/>
      <c r="J165" s="322"/>
      <c r="K165" s="322"/>
      <c r="L165" s="322"/>
      <c r="M165" s="322"/>
      <c r="N165" s="322"/>
      <c r="O165" s="322"/>
      <c r="P165" s="322"/>
      <c r="Q165" s="322"/>
      <c r="R165" s="322"/>
      <c r="S165" s="322"/>
      <c r="T165" s="322"/>
      <c r="U165" s="322"/>
      <c r="V165" s="324"/>
      <c r="W165" s="324"/>
      <c r="X165" s="324"/>
      <c r="Y165" s="324"/>
      <c r="Z165" s="324"/>
      <c r="AA165" s="324"/>
      <c r="AB165" s="324"/>
      <c r="AC165" s="324"/>
      <c r="AD165" s="324"/>
      <c r="AE165" s="324"/>
      <c r="AF165" s="324"/>
      <c r="AG165" s="324"/>
      <c r="AH165" s="324"/>
      <c r="AI165" s="324"/>
      <c r="AJ165" s="324"/>
      <c r="AK165" s="324"/>
    </row>
  </sheetData>
  <mergeCells count="18">
    <mergeCell ref="F5:F6"/>
    <mergeCell ref="A5:A6"/>
    <mergeCell ref="B5:B6"/>
    <mergeCell ref="C5:C6"/>
    <mergeCell ref="D5:D6"/>
    <mergeCell ref="E5:E6"/>
    <mergeCell ref="AH71:AI71"/>
    <mergeCell ref="G5:I5"/>
    <mergeCell ref="J5:L5"/>
    <mergeCell ref="M5:O5"/>
    <mergeCell ref="P5:P6"/>
    <mergeCell ref="Q5:U5"/>
    <mergeCell ref="V5:AC5"/>
    <mergeCell ref="AD5:AG5"/>
    <mergeCell ref="AH5:AK5"/>
    <mergeCell ref="AH66:AI66"/>
    <mergeCell ref="AH67:AI67"/>
    <mergeCell ref="AH69:AI69"/>
  </mergeCells>
  <phoneticPr fontId="163" type="noConversion"/>
  <pageMargins left="0.7" right="0.7" top="0.75" bottom="0.75" header="0.3" footer="0.3"/>
  <pageSetup paperSize="8" scale="42"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7"/>
  <sheetViews>
    <sheetView workbookViewId="0">
      <selection activeCell="F30" sqref="F30"/>
    </sheetView>
  </sheetViews>
  <sheetFormatPr defaultColWidth="9.140625" defaultRowHeight="15"/>
  <cols>
    <col min="1" max="1" width="2" customWidth="1"/>
    <col min="2" max="2" width="55" bestFit="1" customWidth="1"/>
    <col min="3" max="3" width="34.140625" bestFit="1" customWidth="1"/>
    <col min="4" max="4" width="20.140625" bestFit="1" customWidth="1"/>
    <col min="5" max="5" width="37" customWidth="1"/>
    <col min="6" max="6" width="3.42578125" customWidth="1"/>
  </cols>
  <sheetData>
    <row r="1" spans="1:6">
      <c r="A1" s="1" t="s">
        <v>0</v>
      </c>
    </row>
    <row r="2" spans="1:6">
      <c r="A2" s="1" t="s">
        <v>801</v>
      </c>
    </row>
    <row r="5" spans="1:6">
      <c r="B5" t="s">
        <v>817</v>
      </c>
    </row>
    <row r="6" spans="1:6">
      <c r="B6" t="s">
        <v>818</v>
      </c>
    </row>
    <row r="7" spans="1:6">
      <c r="B7" t="s">
        <v>819</v>
      </c>
    </row>
    <row r="8" spans="1:6" ht="15.75" thickBot="1"/>
    <row r="9" spans="1:6">
      <c r="B9" s="21"/>
      <c r="C9" s="22" t="s">
        <v>11</v>
      </c>
      <c r="D9" s="22" t="s">
        <v>213</v>
      </c>
      <c r="E9" s="6"/>
      <c r="F9" s="8"/>
    </row>
    <row r="10" spans="1:6">
      <c r="B10" s="9" t="s">
        <v>802</v>
      </c>
      <c r="C10" t="s">
        <v>1840</v>
      </c>
      <c r="D10" s="84">
        <v>74734332</v>
      </c>
      <c r="E10" t="s">
        <v>674</v>
      </c>
      <c r="F10" s="11"/>
    </row>
    <row r="11" spans="1:6">
      <c r="B11" s="9" t="s">
        <v>803</v>
      </c>
      <c r="C11" t="s">
        <v>1676</v>
      </c>
      <c r="D11" s="84">
        <v>-484771</v>
      </c>
      <c r="E11" s="47"/>
      <c r="F11" s="11"/>
    </row>
    <row r="12" spans="1:6">
      <c r="B12" s="9" t="s">
        <v>804</v>
      </c>
      <c r="C12" t="s">
        <v>896</v>
      </c>
      <c r="D12" s="117">
        <f>+D10+D11</f>
        <v>74249561</v>
      </c>
      <c r="F12" s="11"/>
    </row>
    <row r="13" spans="1:6">
      <c r="B13" s="9"/>
      <c r="D13" s="73"/>
      <c r="F13" s="11"/>
    </row>
    <row r="14" spans="1:6">
      <c r="B14" s="9" t="s">
        <v>820</v>
      </c>
      <c r="C14" t="s">
        <v>805</v>
      </c>
      <c r="D14" s="84">
        <v>1914543</v>
      </c>
      <c r="E14" t="s">
        <v>674</v>
      </c>
      <c r="F14" s="11"/>
    </row>
    <row r="15" spans="1:6">
      <c r="B15" s="9" t="s">
        <v>806</v>
      </c>
      <c r="C15" t="s">
        <v>807</v>
      </c>
      <c r="D15" s="84">
        <v>454645</v>
      </c>
      <c r="E15" t="s">
        <v>674</v>
      </c>
      <c r="F15" s="11"/>
    </row>
    <row r="16" spans="1:6">
      <c r="B16" s="9" t="s">
        <v>809</v>
      </c>
      <c r="C16" t="s">
        <v>808</v>
      </c>
      <c r="D16" s="84">
        <v>0</v>
      </c>
      <c r="E16" t="s">
        <v>674</v>
      </c>
      <c r="F16" s="11"/>
    </row>
    <row r="17" spans="2:6">
      <c r="B17" s="9" t="s">
        <v>810</v>
      </c>
      <c r="C17" t="s">
        <v>811</v>
      </c>
      <c r="D17" s="84">
        <v>0</v>
      </c>
      <c r="E17" t="s">
        <v>674</v>
      </c>
      <c r="F17" s="11"/>
    </row>
    <row r="18" spans="2:6">
      <c r="B18" s="9"/>
      <c r="D18" s="73"/>
      <c r="F18" s="11"/>
    </row>
    <row r="19" spans="2:6">
      <c r="B19" s="9"/>
      <c r="D19" s="73"/>
      <c r="F19" s="11"/>
    </row>
    <row r="20" spans="2:6">
      <c r="B20" s="20" t="s">
        <v>821</v>
      </c>
      <c r="D20" s="73"/>
      <c r="F20" s="11"/>
    </row>
    <row r="21" spans="2:6">
      <c r="B21" s="9" t="s">
        <v>812</v>
      </c>
      <c r="C21" t="s">
        <v>889</v>
      </c>
      <c r="D21" s="84">
        <v>844446</v>
      </c>
      <c r="E21" t="s">
        <v>674</v>
      </c>
      <c r="F21" s="11"/>
    </row>
    <row r="22" spans="2:6">
      <c r="B22" s="9" t="s">
        <v>813</v>
      </c>
      <c r="C22" t="s">
        <v>889</v>
      </c>
      <c r="D22" s="117">
        <f>D21</f>
        <v>844446</v>
      </c>
      <c r="F22" s="11"/>
    </row>
    <row r="23" spans="2:6">
      <c r="B23" s="9"/>
      <c r="D23" s="73"/>
      <c r="F23" s="11"/>
    </row>
    <row r="24" spans="2:6">
      <c r="B24" s="9"/>
      <c r="D24" s="73"/>
      <c r="F24" s="11"/>
    </row>
    <row r="25" spans="2:6" ht="15.75" thickBot="1">
      <c r="B25" s="9" t="s">
        <v>814</v>
      </c>
      <c r="C25" t="s">
        <v>815</v>
      </c>
      <c r="D25" s="111">
        <f>+D10+D14+D15+D16+D17+D21</f>
        <v>77947966</v>
      </c>
      <c r="E25" t="s">
        <v>1179</v>
      </c>
      <c r="F25" s="11"/>
    </row>
    <row r="26" spans="2:6" ht="16.5" thickTop="1" thickBot="1">
      <c r="B26" s="14"/>
      <c r="C26" s="15"/>
      <c r="D26" s="76"/>
      <c r="E26" s="15"/>
      <c r="F26" s="17"/>
    </row>
    <row r="27" spans="2:6">
      <c r="D27" s="73"/>
    </row>
  </sheetData>
  <pageMargins left="0.7" right="0.7" top="0.75" bottom="0.75" header="0.3" footer="0.3"/>
  <pageSetup scale="8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Y115"/>
  <sheetViews>
    <sheetView workbookViewId="0">
      <selection activeCell="H19" sqref="H19"/>
    </sheetView>
  </sheetViews>
  <sheetFormatPr defaultColWidth="9.140625" defaultRowHeight="15"/>
  <cols>
    <col min="1" max="1" width="3" customWidth="1"/>
    <col min="2" max="2" width="8.28515625" bestFit="1" customWidth="1"/>
    <col min="3" max="3" width="76.28515625" bestFit="1" customWidth="1"/>
    <col min="4" max="4" width="49.42578125" customWidth="1"/>
    <col min="5" max="5" width="17.5703125" bestFit="1" customWidth="1"/>
    <col min="6" max="6" width="14.42578125" bestFit="1" customWidth="1"/>
    <col min="7" max="7" width="55.85546875" customWidth="1"/>
  </cols>
  <sheetData>
    <row r="1" spans="1:16">
      <c r="A1" s="1" t="s">
        <v>0</v>
      </c>
      <c r="B1" s="1"/>
    </row>
    <row r="2" spans="1:16">
      <c r="A2" s="1" t="s">
        <v>860</v>
      </c>
      <c r="B2" s="1"/>
    </row>
    <row r="4" spans="1:16" ht="65.25" customHeight="1">
      <c r="B4" t="s">
        <v>687</v>
      </c>
      <c r="C4" s="596"/>
      <c r="D4" s="596"/>
      <c r="E4" s="596"/>
      <c r="F4" s="596"/>
      <c r="G4" s="596"/>
      <c r="H4" s="587"/>
    </row>
    <row r="5" spans="1:16">
      <c r="D5" s="4" t="s">
        <v>11</v>
      </c>
      <c r="E5" s="4"/>
      <c r="F5" s="4" t="s">
        <v>715</v>
      </c>
    </row>
    <row r="6" spans="1:16">
      <c r="P6" s="88"/>
    </row>
    <row r="7" spans="1:16">
      <c r="B7" s="578">
        <v>1</v>
      </c>
      <c r="C7" t="s">
        <v>403</v>
      </c>
      <c r="D7" t="s">
        <v>1675</v>
      </c>
      <c r="E7" s="100">
        <f>+'Attachment H-1'!H291</f>
        <v>194178376.98473623</v>
      </c>
      <c r="P7" s="88"/>
    </row>
    <row r="8" spans="1:16">
      <c r="B8" s="578">
        <f>+B7+1</f>
        <v>2</v>
      </c>
      <c r="P8" s="88"/>
    </row>
    <row r="9" spans="1:16">
      <c r="B9" s="578">
        <f t="shared" ref="B9:B104" si="0">+B8+1</f>
        <v>3</v>
      </c>
      <c r="C9" t="s">
        <v>404</v>
      </c>
      <c r="D9" t="s">
        <v>827</v>
      </c>
      <c r="E9" s="3">
        <f>+F9*$E$7</f>
        <v>87274624.713660032</v>
      </c>
      <c r="F9" s="43">
        <f>'Sch 17 - Trans Demand Allocator'!Q11</f>
        <v>0.44945593875532508</v>
      </c>
      <c r="G9" t="s">
        <v>716</v>
      </c>
      <c r="P9" s="88"/>
    </row>
    <row r="10" spans="1:16">
      <c r="B10" s="578">
        <f t="shared" si="0"/>
        <v>4</v>
      </c>
      <c r="C10" t="s">
        <v>405</v>
      </c>
      <c r="D10" t="s">
        <v>828</v>
      </c>
      <c r="E10" s="71">
        <f>+F10*$E$7</f>
        <v>21228263.756186411</v>
      </c>
      <c r="F10" s="43">
        <f>'Sch 17 - Trans Demand Allocator'!Q24</f>
        <v>0.10932352039308219</v>
      </c>
      <c r="G10" t="s">
        <v>716</v>
      </c>
      <c r="P10" s="88"/>
    </row>
    <row r="11" spans="1:16">
      <c r="B11" s="578">
        <f t="shared" si="0"/>
        <v>5</v>
      </c>
      <c r="C11" t="s">
        <v>406</v>
      </c>
      <c r="D11" t="s">
        <v>829</v>
      </c>
      <c r="E11" s="71">
        <f>+F11*$E$7</f>
        <v>11069704.344897542</v>
      </c>
      <c r="F11" s="43">
        <f>'Sch 17 - Trans Demand Allocator'!Q30</f>
        <v>5.7007914664812025E-2</v>
      </c>
      <c r="G11" t="s">
        <v>716</v>
      </c>
      <c r="P11" s="88"/>
    </row>
    <row r="12" spans="1:16">
      <c r="B12" s="578">
        <f t="shared" si="0"/>
        <v>6</v>
      </c>
      <c r="C12" t="s">
        <v>407</v>
      </c>
      <c r="D12" t="s">
        <v>830</v>
      </c>
      <c r="E12" s="110">
        <f>+F12*$E$7</f>
        <v>74605784.169992253</v>
      </c>
      <c r="F12" s="43">
        <f>'Sch 17 - Trans Demand Allocator'!Q52</f>
        <v>0.38421262618678076</v>
      </c>
      <c r="G12" t="s">
        <v>716</v>
      </c>
      <c r="P12" s="88"/>
    </row>
    <row r="13" spans="1:16">
      <c r="B13" s="578">
        <f t="shared" si="0"/>
        <v>7</v>
      </c>
      <c r="C13" t="s">
        <v>847</v>
      </c>
      <c r="D13" t="s">
        <v>831</v>
      </c>
      <c r="E13" s="71">
        <f>SUM(E10:E12)</f>
        <v>106903752.2710762</v>
      </c>
      <c r="F13" s="43"/>
      <c r="P13" s="88"/>
    </row>
    <row r="14" spans="1:16" ht="15.75" thickBot="1">
      <c r="B14" s="578">
        <f t="shared" si="0"/>
        <v>8</v>
      </c>
      <c r="P14" s="88"/>
    </row>
    <row r="15" spans="1:16" ht="15.75" thickBot="1">
      <c r="B15" s="578">
        <f t="shared" si="0"/>
        <v>9</v>
      </c>
      <c r="C15" s="1" t="s">
        <v>777</v>
      </c>
      <c r="D15" t="s">
        <v>211</v>
      </c>
      <c r="E15" s="120">
        <f>+'Schedule 9 O&amp;M'!D103</f>
        <v>0</v>
      </c>
      <c r="P15" s="88"/>
    </row>
    <row r="16" spans="1:16">
      <c r="B16" s="578">
        <f t="shared" si="0"/>
        <v>10</v>
      </c>
      <c r="C16" t="s">
        <v>405</v>
      </c>
      <c r="D16" t="s">
        <v>823</v>
      </c>
      <c r="E16" s="71">
        <f>+$E$15*F16</f>
        <v>0</v>
      </c>
      <c r="F16" s="43">
        <f>'Sch 17 - Trans Demand Allocator'!D75</f>
        <v>0.19729437972794125</v>
      </c>
      <c r="G16" t="s">
        <v>716</v>
      </c>
      <c r="P16" s="88"/>
    </row>
    <row r="17" spans="1:51">
      <c r="B17" s="578">
        <f t="shared" si="0"/>
        <v>11</v>
      </c>
      <c r="C17" t="s">
        <v>406</v>
      </c>
      <c r="D17" t="s">
        <v>824</v>
      </c>
      <c r="E17" s="71">
        <f>+$E$15*F17</f>
        <v>0</v>
      </c>
      <c r="F17" s="43">
        <f>'Sch 17 - Trans Demand Allocator'!D76</f>
        <v>0.10815509953857241</v>
      </c>
      <c r="G17" t="s">
        <v>716</v>
      </c>
      <c r="P17" s="88"/>
    </row>
    <row r="18" spans="1:51">
      <c r="B18" s="578">
        <f t="shared" si="0"/>
        <v>12</v>
      </c>
      <c r="C18" t="s">
        <v>407</v>
      </c>
      <c r="D18" t="s">
        <v>825</v>
      </c>
      <c r="E18" s="71">
        <f>+$E$15*F18</f>
        <v>0</v>
      </c>
      <c r="F18" s="43">
        <f>'Sch 17 - Trans Demand Allocator'!D77</f>
        <v>0.69455052073348633</v>
      </c>
      <c r="G18" t="s">
        <v>716</v>
      </c>
      <c r="P18" s="88"/>
    </row>
    <row r="19" spans="1:51">
      <c r="B19" s="578">
        <f t="shared" si="0"/>
        <v>13</v>
      </c>
      <c r="C19" s="25" t="s">
        <v>840</v>
      </c>
      <c r="D19" t="s">
        <v>826</v>
      </c>
      <c r="E19" s="118">
        <f>SUM(E16:E18)</f>
        <v>0</v>
      </c>
      <c r="F19" s="115">
        <f>SUM(F16:F18)</f>
        <v>1</v>
      </c>
      <c r="P19" s="88"/>
    </row>
    <row r="20" spans="1:51">
      <c r="B20" s="578">
        <f t="shared" si="0"/>
        <v>14</v>
      </c>
      <c r="E20" s="71"/>
      <c r="F20" s="115"/>
      <c r="P20" s="88"/>
    </row>
    <row r="21" spans="1:51">
      <c r="B21" s="578">
        <f t="shared" si="0"/>
        <v>15</v>
      </c>
      <c r="C21" t="s">
        <v>789</v>
      </c>
      <c r="D21" s="43" t="s">
        <v>833</v>
      </c>
      <c r="E21" s="71">
        <f>+E15/(1-F9)</f>
        <v>0</v>
      </c>
      <c r="F21" s="115"/>
      <c r="P21" s="88"/>
    </row>
    <row r="22" spans="1:51">
      <c r="B22" s="578">
        <f t="shared" si="0"/>
        <v>16</v>
      </c>
      <c r="C22" t="s">
        <v>790</v>
      </c>
      <c r="D22" s="88" t="s">
        <v>832</v>
      </c>
      <c r="E22" s="118">
        <f>+E7+E21</f>
        <v>194178376.98473623</v>
      </c>
      <c r="F22" s="115"/>
      <c r="P22" s="88"/>
    </row>
    <row r="23" spans="1:51">
      <c r="B23" s="578">
        <f t="shared" si="0"/>
        <v>17</v>
      </c>
      <c r="E23" s="71"/>
      <c r="F23" s="115"/>
      <c r="P23" s="88"/>
    </row>
    <row r="24" spans="1:51">
      <c r="B24" s="578">
        <f t="shared" si="0"/>
        <v>18</v>
      </c>
      <c r="C24" s="1" t="s">
        <v>783</v>
      </c>
      <c r="E24" s="88"/>
      <c r="F24" s="115"/>
      <c r="P24" s="88"/>
    </row>
    <row r="25" spans="1:51">
      <c r="B25" s="578">
        <f t="shared" si="0"/>
        <v>19</v>
      </c>
      <c r="C25" t="s">
        <v>406</v>
      </c>
      <c r="D25" t="s">
        <v>841</v>
      </c>
      <c r="E25" s="88">
        <f>+E11+E17</f>
        <v>11069704.344897542</v>
      </c>
      <c r="F25" s="115"/>
      <c r="P25" s="88"/>
    </row>
    <row r="26" spans="1:51">
      <c r="B26" s="578">
        <f t="shared" si="0"/>
        <v>20</v>
      </c>
      <c r="C26" t="s">
        <v>407</v>
      </c>
      <c r="D26" t="s">
        <v>842</v>
      </c>
      <c r="E26" s="88">
        <f>+E12+E18</f>
        <v>74605784.169992253</v>
      </c>
      <c r="F26" s="115"/>
      <c r="P26" s="88"/>
    </row>
    <row r="27" spans="1:51">
      <c r="B27" s="578">
        <f t="shared" si="0"/>
        <v>21</v>
      </c>
      <c r="D27" s="1"/>
      <c r="E27" s="88"/>
      <c r="F27" s="88"/>
      <c r="P27" s="88"/>
    </row>
    <row r="28" spans="1:51" s="101" customFormat="1" ht="15.75" thickBot="1">
      <c r="A28"/>
      <c r="B28" s="578">
        <f t="shared" si="0"/>
        <v>22</v>
      </c>
      <c r="C28"/>
      <c r="D28" s="1"/>
      <c r="E28" s="88"/>
      <c r="F28" s="88"/>
      <c r="G28"/>
      <c r="H28"/>
      <c r="I28"/>
      <c r="J28"/>
      <c r="K28"/>
      <c r="L28"/>
      <c r="M28"/>
      <c r="N28"/>
      <c r="O28"/>
      <c r="P28" s="88"/>
      <c r="Q28"/>
      <c r="R28"/>
      <c r="S28"/>
      <c r="T28"/>
      <c r="U28"/>
      <c r="V28"/>
      <c r="W28"/>
      <c r="X28"/>
      <c r="Y28"/>
      <c r="Z28"/>
      <c r="AA28"/>
      <c r="AB28"/>
      <c r="AC28"/>
      <c r="AD28"/>
      <c r="AE28"/>
      <c r="AF28"/>
      <c r="AG28"/>
      <c r="AH28"/>
      <c r="AI28"/>
      <c r="AJ28"/>
      <c r="AK28"/>
      <c r="AL28"/>
      <c r="AM28"/>
      <c r="AN28"/>
      <c r="AO28"/>
      <c r="AP28"/>
      <c r="AQ28"/>
      <c r="AR28"/>
      <c r="AS28"/>
      <c r="AT28"/>
      <c r="AU28"/>
      <c r="AV28"/>
      <c r="AW28"/>
      <c r="AX28"/>
      <c r="AY28"/>
    </row>
    <row r="29" spans="1:51" s="101" customFormat="1" ht="15.75" thickBot="1">
      <c r="A29"/>
      <c r="B29" s="578">
        <f t="shared" si="0"/>
        <v>23</v>
      </c>
      <c r="C29" s="1" t="s">
        <v>787</v>
      </c>
      <c r="D29" t="s">
        <v>617</v>
      </c>
      <c r="E29" s="120">
        <f>+-'Schedule 12 Revenue Credits'!D8</f>
        <v>-2403156.4499999993</v>
      </c>
      <c r="F29"/>
      <c r="G29"/>
      <c r="H29"/>
      <c r="I29"/>
      <c r="J29"/>
      <c r="K29"/>
      <c r="L29"/>
      <c r="M29"/>
      <c r="N29"/>
      <c r="O29"/>
      <c r="P29" s="88"/>
      <c r="Q29"/>
      <c r="R29"/>
      <c r="S29"/>
      <c r="T29"/>
      <c r="U29"/>
      <c r="V29"/>
      <c r="W29"/>
      <c r="X29"/>
      <c r="Y29"/>
      <c r="Z29"/>
      <c r="AA29"/>
      <c r="AB29"/>
      <c r="AC29"/>
      <c r="AD29"/>
      <c r="AE29"/>
      <c r="AF29"/>
      <c r="AG29"/>
      <c r="AH29"/>
      <c r="AI29"/>
      <c r="AJ29"/>
      <c r="AK29"/>
      <c r="AL29"/>
      <c r="AM29"/>
      <c r="AN29"/>
      <c r="AO29"/>
      <c r="AP29"/>
      <c r="AQ29"/>
      <c r="AR29"/>
      <c r="AS29"/>
      <c r="AT29"/>
      <c r="AU29"/>
      <c r="AV29"/>
      <c r="AW29"/>
      <c r="AX29"/>
      <c r="AY29"/>
    </row>
    <row r="30" spans="1:51" s="101" customFormat="1">
      <c r="A30"/>
      <c r="B30" s="578">
        <f t="shared" si="0"/>
        <v>24</v>
      </c>
      <c r="C30" t="s">
        <v>404</v>
      </c>
      <c r="D30" t="s">
        <v>834</v>
      </c>
      <c r="E30" s="100">
        <f>+$E$29*F30</f>
        <v>-1080112.9382106641</v>
      </c>
      <c r="F30" s="43">
        <f>'Sch 17 - Trans Demand Allocator'!Q11</f>
        <v>0.44945593875532508</v>
      </c>
      <c r="G30" t="s">
        <v>784</v>
      </c>
      <c r="H30"/>
      <c r="I30"/>
      <c r="J30"/>
      <c r="K30"/>
      <c r="L30"/>
      <c r="M30"/>
      <c r="N30"/>
      <c r="O30"/>
      <c r="P30" s="88"/>
      <c r="Q30"/>
      <c r="R30"/>
      <c r="S30"/>
      <c r="T30"/>
      <c r="U30"/>
      <c r="V30"/>
      <c r="W30"/>
      <c r="X30"/>
      <c r="Y30"/>
      <c r="Z30"/>
      <c r="AA30"/>
      <c r="AB30"/>
      <c r="AC30"/>
      <c r="AD30"/>
      <c r="AE30"/>
      <c r="AF30"/>
      <c r="AG30"/>
      <c r="AH30"/>
      <c r="AI30"/>
      <c r="AJ30"/>
      <c r="AK30"/>
      <c r="AL30"/>
      <c r="AM30"/>
      <c r="AN30"/>
      <c r="AO30"/>
      <c r="AP30"/>
      <c r="AQ30"/>
      <c r="AR30"/>
      <c r="AS30"/>
      <c r="AT30"/>
      <c r="AU30"/>
      <c r="AV30"/>
      <c r="AW30"/>
      <c r="AX30"/>
      <c r="AY30"/>
    </row>
    <row r="31" spans="1:51" s="101" customFormat="1">
      <c r="A31"/>
      <c r="B31" s="578">
        <f t="shared" si="0"/>
        <v>25</v>
      </c>
      <c r="C31" t="s">
        <v>405</v>
      </c>
      <c r="D31" t="s">
        <v>835</v>
      </c>
      <c r="E31" s="100">
        <f>+$E$29*F31</f>
        <v>-262721.5231693419</v>
      </c>
      <c r="F31" s="43">
        <f>'Sch 17 - Trans Demand Allocator'!Q24</f>
        <v>0.10932352039308219</v>
      </c>
      <c r="G31" t="s">
        <v>791</v>
      </c>
      <c r="H31"/>
      <c r="I31"/>
      <c r="J31"/>
      <c r="K31"/>
      <c r="L31"/>
      <c r="M31"/>
      <c r="N31"/>
      <c r="O31"/>
      <c r="P31" s="88"/>
      <c r="Q31"/>
      <c r="R31"/>
      <c r="S31"/>
      <c r="T31"/>
      <c r="U31"/>
      <c r="V31"/>
      <c r="W31"/>
      <c r="X31"/>
      <c r="Y31"/>
      <c r="Z31"/>
      <c r="AA31"/>
      <c r="AB31"/>
      <c r="AC31"/>
      <c r="AD31"/>
      <c r="AE31"/>
      <c r="AF31"/>
      <c r="AG31"/>
      <c r="AH31"/>
      <c r="AI31"/>
      <c r="AJ31"/>
      <c r="AK31"/>
      <c r="AL31"/>
      <c r="AM31"/>
      <c r="AN31"/>
      <c r="AO31"/>
      <c r="AP31"/>
      <c r="AQ31"/>
      <c r="AR31"/>
      <c r="AS31"/>
      <c r="AT31"/>
      <c r="AU31"/>
      <c r="AV31"/>
      <c r="AW31"/>
      <c r="AX31"/>
      <c r="AY31"/>
    </row>
    <row r="32" spans="1:51" s="101" customFormat="1">
      <c r="A32"/>
      <c r="B32" s="578">
        <f t="shared" si="0"/>
        <v>26</v>
      </c>
      <c r="C32" t="s">
        <v>406</v>
      </c>
      <c r="D32" t="s">
        <v>836</v>
      </c>
      <c r="E32" s="100">
        <f>+$E$29*F32</f>
        <v>-136998.93782779257</v>
      </c>
      <c r="F32" s="43">
        <f>'Sch 17 - Trans Demand Allocator'!Q30</f>
        <v>5.7007914664812025E-2</v>
      </c>
      <c r="G32" t="s">
        <v>785</v>
      </c>
      <c r="H32"/>
      <c r="I32"/>
      <c r="J32"/>
      <c r="K32"/>
      <c r="L32"/>
      <c r="M32"/>
      <c r="N32"/>
      <c r="O32"/>
      <c r="P32" s="88"/>
      <c r="Q32"/>
      <c r="R32"/>
      <c r="S32"/>
      <c r="T32"/>
      <c r="U32"/>
      <c r="V32"/>
      <c r="W32"/>
      <c r="X32"/>
      <c r="Y32"/>
      <c r="Z32"/>
      <c r="AA32"/>
      <c r="AB32"/>
      <c r="AC32"/>
      <c r="AD32"/>
      <c r="AE32"/>
      <c r="AF32"/>
      <c r="AG32"/>
      <c r="AH32"/>
      <c r="AI32"/>
      <c r="AJ32"/>
      <c r="AK32"/>
      <c r="AL32"/>
      <c r="AM32"/>
      <c r="AN32"/>
      <c r="AO32"/>
      <c r="AP32"/>
      <c r="AQ32"/>
      <c r="AR32"/>
      <c r="AS32"/>
      <c r="AT32"/>
      <c r="AU32"/>
      <c r="AV32"/>
      <c r="AW32"/>
      <c r="AX32"/>
      <c r="AY32"/>
    </row>
    <row r="33" spans="1:51" s="101" customFormat="1">
      <c r="A33"/>
      <c r="B33" s="578">
        <f t="shared" si="0"/>
        <v>27</v>
      </c>
      <c r="C33" t="s">
        <v>407</v>
      </c>
      <c r="D33" t="s">
        <v>837</v>
      </c>
      <c r="E33" s="100">
        <f>+$E$29*F33</f>
        <v>-923323.05079220084</v>
      </c>
      <c r="F33" s="43">
        <f>'Sch 17 - Trans Demand Allocator'!Q52</f>
        <v>0.38421262618678076</v>
      </c>
      <c r="G33" t="s">
        <v>786</v>
      </c>
      <c r="H33"/>
      <c r="I33"/>
      <c r="J33"/>
      <c r="K33"/>
      <c r="L33"/>
      <c r="M33"/>
      <c r="N33"/>
      <c r="O33"/>
      <c r="P33" s="88"/>
      <c r="Q33"/>
      <c r="R33"/>
      <c r="S33"/>
      <c r="T33"/>
      <c r="U33"/>
      <c r="V33"/>
      <c r="W33"/>
      <c r="X33"/>
      <c r="Y33"/>
      <c r="Z33"/>
      <c r="AA33"/>
      <c r="AB33"/>
      <c r="AC33"/>
      <c r="AD33"/>
      <c r="AE33"/>
      <c r="AF33"/>
      <c r="AG33"/>
      <c r="AH33"/>
      <c r="AI33"/>
      <c r="AJ33"/>
      <c r="AK33"/>
      <c r="AL33"/>
      <c r="AM33"/>
      <c r="AN33"/>
      <c r="AO33"/>
      <c r="AP33"/>
      <c r="AQ33"/>
      <c r="AR33"/>
      <c r="AS33"/>
      <c r="AT33"/>
      <c r="AU33"/>
      <c r="AV33"/>
      <c r="AW33"/>
      <c r="AX33"/>
      <c r="AY33"/>
    </row>
    <row r="34" spans="1:51" s="101" customFormat="1">
      <c r="A34"/>
      <c r="B34" s="578">
        <f t="shared" si="0"/>
        <v>28</v>
      </c>
      <c r="C34" s="25" t="s">
        <v>839</v>
      </c>
      <c r="D34" t="s">
        <v>838</v>
      </c>
      <c r="E34" s="119">
        <f>SUM(E30:E33)</f>
        <v>-2403156.4499999993</v>
      </c>
      <c r="F34" s="43">
        <f>SUM(F30:F33)</f>
        <v>1</v>
      </c>
      <c r="G34"/>
      <c r="H34"/>
      <c r="I34"/>
      <c r="J34"/>
      <c r="K34"/>
      <c r="L34"/>
      <c r="M34"/>
      <c r="N34"/>
      <c r="O34"/>
      <c r="P34" s="88"/>
      <c r="Q34"/>
      <c r="R34"/>
      <c r="S34"/>
      <c r="T34"/>
      <c r="U34"/>
      <c r="V34"/>
      <c r="W34"/>
      <c r="X34"/>
      <c r="Y34"/>
      <c r="Z34"/>
      <c r="AA34"/>
      <c r="AB34"/>
      <c r="AC34"/>
      <c r="AD34"/>
      <c r="AE34"/>
      <c r="AF34"/>
      <c r="AG34"/>
      <c r="AH34"/>
      <c r="AI34"/>
      <c r="AJ34"/>
      <c r="AK34"/>
      <c r="AL34"/>
      <c r="AM34"/>
      <c r="AN34"/>
      <c r="AO34"/>
      <c r="AP34"/>
      <c r="AQ34"/>
      <c r="AR34"/>
      <c r="AS34"/>
      <c r="AT34"/>
      <c r="AU34"/>
      <c r="AV34"/>
      <c r="AW34"/>
      <c r="AX34"/>
      <c r="AY34"/>
    </row>
    <row r="35" spans="1:51" s="101" customFormat="1">
      <c r="A35"/>
      <c r="B35" s="578">
        <f t="shared" si="0"/>
        <v>29</v>
      </c>
      <c r="C35"/>
      <c r="D35" s="1"/>
      <c r="E35" s="88"/>
      <c r="F35" s="43"/>
      <c r="G35"/>
      <c r="H35"/>
      <c r="I35"/>
      <c r="J35"/>
      <c r="K35"/>
      <c r="L35"/>
      <c r="M35"/>
      <c r="N35"/>
      <c r="O35"/>
      <c r="P35" s="88"/>
      <c r="Q35"/>
      <c r="R35"/>
      <c r="S35"/>
      <c r="T35"/>
      <c r="U35"/>
      <c r="V35"/>
      <c r="W35"/>
      <c r="X35"/>
      <c r="Y35"/>
      <c r="Z35"/>
      <c r="AA35"/>
      <c r="AB35"/>
      <c r="AC35"/>
      <c r="AD35"/>
      <c r="AE35"/>
      <c r="AF35"/>
      <c r="AG35"/>
      <c r="AH35"/>
      <c r="AI35"/>
      <c r="AJ35"/>
      <c r="AK35"/>
      <c r="AL35"/>
      <c r="AM35"/>
      <c r="AN35"/>
      <c r="AO35"/>
      <c r="AP35"/>
      <c r="AQ35"/>
      <c r="AR35"/>
      <c r="AS35"/>
      <c r="AT35"/>
      <c r="AU35"/>
      <c r="AV35"/>
      <c r="AW35"/>
      <c r="AX35"/>
      <c r="AY35"/>
    </row>
    <row r="36" spans="1:51" s="101" customFormat="1">
      <c r="A36"/>
      <c r="B36" s="578">
        <f t="shared" si="0"/>
        <v>30</v>
      </c>
      <c r="C36" s="1" t="s">
        <v>788</v>
      </c>
      <c r="D36" s="1"/>
      <c r="E36" s="88"/>
      <c r="F36" s="43"/>
      <c r="G36"/>
      <c r="H36"/>
      <c r="I36"/>
      <c r="J36"/>
      <c r="K36"/>
      <c r="L36"/>
      <c r="M36"/>
      <c r="N36"/>
      <c r="O36"/>
      <c r="P36" s="88"/>
      <c r="Q36"/>
      <c r="R36"/>
      <c r="S36"/>
      <c r="T36"/>
      <c r="U36"/>
      <c r="V36"/>
      <c r="W36"/>
      <c r="X36"/>
      <c r="Y36"/>
      <c r="Z36"/>
      <c r="AA36"/>
      <c r="AB36"/>
      <c r="AC36"/>
      <c r="AD36"/>
      <c r="AE36"/>
      <c r="AF36"/>
      <c r="AG36"/>
      <c r="AH36"/>
      <c r="AI36"/>
      <c r="AJ36"/>
      <c r="AK36"/>
      <c r="AL36"/>
      <c r="AM36"/>
      <c r="AN36"/>
      <c r="AO36"/>
      <c r="AP36"/>
      <c r="AQ36"/>
      <c r="AR36"/>
      <c r="AS36"/>
      <c r="AT36"/>
      <c r="AU36"/>
      <c r="AV36"/>
      <c r="AW36"/>
      <c r="AX36"/>
      <c r="AY36"/>
    </row>
    <row r="37" spans="1:51" s="101" customFormat="1">
      <c r="A37"/>
      <c r="B37" s="578">
        <f t="shared" si="0"/>
        <v>31</v>
      </c>
      <c r="C37" t="s">
        <v>405</v>
      </c>
      <c r="D37" t="s">
        <v>843</v>
      </c>
      <c r="E37" s="88">
        <f>+E22</f>
        <v>194178376.98473623</v>
      </c>
      <c r="F37" s="43"/>
      <c r="G37"/>
      <c r="H37"/>
      <c r="I37"/>
      <c r="J37"/>
      <c r="K37"/>
      <c r="L37"/>
      <c r="M37"/>
      <c r="N37"/>
      <c r="O37"/>
      <c r="P37" s="88"/>
      <c r="Q37"/>
      <c r="R37"/>
      <c r="S37"/>
      <c r="T37"/>
      <c r="U37"/>
      <c r="V37"/>
      <c r="W37"/>
      <c r="X37"/>
      <c r="Y37"/>
      <c r="Z37"/>
      <c r="AA37"/>
      <c r="AB37"/>
      <c r="AC37"/>
      <c r="AD37"/>
      <c r="AE37"/>
      <c r="AF37"/>
      <c r="AG37"/>
      <c r="AH37"/>
      <c r="AI37"/>
      <c r="AJ37"/>
      <c r="AK37"/>
      <c r="AL37"/>
      <c r="AM37"/>
      <c r="AN37"/>
      <c r="AO37"/>
      <c r="AP37"/>
      <c r="AQ37"/>
      <c r="AR37"/>
      <c r="AS37"/>
      <c r="AT37"/>
      <c r="AU37"/>
      <c r="AV37"/>
      <c r="AW37"/>
      <c r="AX37"/>
      <c r="AY37"/>
    </row>
    <row r="38" spans="1:51" s="101" customFormat="1">
      <c r="A38"/>
      <c r="B38" s="578">
        <f t="shared" si="0"/>
        <v>32</v>
      </c>
      <c r="C38" t="s">
        <v>406</v>
      </c>
      <c r="D38" t="s">
        <v>844</v>
      </c>
      <c r="E38" s="88">
        <f>+E25+E32</f>
        <v>10932705.40706975</v>
      </c>
      <c r="F38" s="43"/>
      <c r="G38"/>
      <c r="H38"/>
      <c r="I38"/>
      <c r="J38"/>
      <c r="K38"/>
      <c r="L38"/>
      <c r="M38"/>
      <c r="N38"/>
      <c r="O38"/>
      <c r="P38" s="88"/>
      <c r="Q38"/>
      <c r="R38"/>
      <c r="S38"/>
      <c r="T38"/>
      <c r="U38"/>
      <c r="V38"/>
      <c r="W38"/>
      <c r="X38"/>
      <c r="Y38"/>
      <c r="Z38"/>
      <c r="AA38"/>
      <c r="AB38"/>
      <c r="AC38"/>
      <c r="AD38"/>
      <c r="AE38"/>
      <c r="AF38"/>
      <c r="AG38"/>
      <c r="AH38"/>
      <c r="AI38"/>
      <c r="AJ38"/>
      <c r="AK38"/>
      <c r="AL38"/>
      <c r="AM38"/>
      <c r="AN38"/>
      <c r="AO38"/>
      <c r="AP38"/>
      <c r="AQ38"/>
      <c r="AR38"/>
      <c r="AS38"/>
      <c r="AT38"/>
      <c r="AU38"/>
      <c r="AV38"/>
      <c r="AW38"/>
      <c r="AX38"/>
      <c r="AY38"/>
    </row>
    <row r="39" spans="1:51" s="101" customFormat="1">
      <c r="A39"/>
      <c r="B39" s="578">
        <f t="shared" si="0"/>
        <v>33</v>
      </c>
      <c r="C39" t="s">
        <v>407</v>
      </c>
      <c r="D39" t="s">
        <v>845</v>
      </c>
      <c r="E39" s="88">
        <f>+E26+E33</f>
        <v>73682461.119200051</v>
      </c>
      <c r="F39" s="43"/>
      <c r="G39"/>
      <c r="H39"/>
      <c r="I39"/>
      <c r="J39"/>
      <c r="K39"/>
      <c r="L39"/>
      <c r="M39"/>
      <c r="N39"/>
      <c r="O39"/>
      <c r="P39" s="88"/>
      <c r="Q39"/>
      <c r="R39"/>
      <c r="S39"/>
      <c r="T39"/>
      <c r="U39"/>
      <c r="V39"/>
      <c r="W39"/>
      <c r="X39"/>
      <c r="Y39"/>
      <c r="Z39"/>
      <c r="AA39"/>
      <c r="AB39"/>
      <c r="AC39"/>
      <c r="AD39"/>
      <c r="AE39"/>
      <c r="AF39"/>
      <c r="AG39"/>
      <c r="AH39"/>
      <c r="AI39"/>
      <c r="AJ39"/>
      <c r="AK39"/>
      <c r="AL39"/>
      <c r="AM39"/>
      <c r="AN39"/>
      <c r="AO39"/>
      <c r="AP39"/>
      <c r="AQ39"/>
      <c r="AR39"/>
      <c r="AS39"/>
      <c r="AT39"/>
      <c r="AU39"/>
      <c r="AV39"/>
      <c r="AW39"/>
      <c r="AX39"/>
      <c r="AY39"/>
    </row>
    <row r="40" spans="1:51" s="101" customFormat="1">
      <c r="A40"/>
      <c r="B40" s="578">
        <f t="shared" si="0"/>
        <v>34</v>
      </c>
      <c r="C40"/>
      <c r="D40" s="1"/>
      <c r="E40" s="88"/>
      <c r="F40" s="88"/>
      <c r="G40"/>
      <c r="H40"/>
      <c r="I40"/>
      <c r="J40"/>
      <c r="K40"/>
      <c r="L40"/>
      <c r="M40"/>
      <c r="N40"/>
      <c r="O40"/>
      <c r="P40" s="88"/>
      <c r="Q40"/>
      <c r="R40"/>
      <c r="S40"/>
      <c r="T40"/>
      <c r="U40"/>
      <c r="V40"/>
      <c r="W40"/>
      <c r="X40"/>
      <c r="Y40"/>
      <c r="Z40"/>
      <c r="AA40"/>
      <c r="AB40"/>
      <c r="AC40"/>
      <c r="AD40"/>
      <c r="AE40"/>
      <c r="AF40"/>
      <c r="AG40"/>
      <c r="AH40"/>
      <c r="AI40"/>
      <c r="AJ40"/>
      <c r="AK40"/>
      <c r="AL40"/>
      <c r="AM40"/>
      <c r="AN40"/>
      <c r="AO40"/>
      <c r="AP40"/>
      <c r="AQ40"/>
      <c r="AR40"/>
      <c r="AS40"/>
      <c r="AT40"/>
      <c r="AU40"/>
      <c r="AV40"/>
      <c r="AW40"/>
      <c r="AX40"/>
      <c r="AY40"/>
    </row>
    <row r="41" spans="1:51" s="101" customFormat="1">
      <c r="A41"/>
      <c r="B41" s="578">
        <f t="shared" si="0"/>
        <v>35</v>
      </c>
      <c r="C41"/>
      <c r="D41"/>
      <c r="E41"/>
      <c r="F41" s="43"/>
      <c r="G41"/>
      <c r="H41"/>
      <c r="I41"/>
      <c r="J41"/>
      <c r="K41"/>
      <c r="L41"/>
      <c r="M41"/>
      <c r="N41"/>
      <c r="O41"/>
      <c r="P41" s="88"/>
      <c r="Q41"/>
      <c r="R41"/>
      <c r="S41"/>
      <c r="T41"/>
      <c r="U41"/>
      <c r="V41"/>
      <c r="W41"/>
      <c r="X41"/>
      <c r="Y41"/>
      <c r="Z41"/>
      <c r="AA41"/>
      <c r="AB41"/>
      <c r="AC41"/>
      <c r="AD41"/>
      <c r="AE41"/>
      <c r="AF41"/>
      <c r="AG41"/>
      <c r="AH41"/>
      <c r="AI41"/>
      <c r="AJ41"/>
      <c r="AK41"/>
      <c r="AL41"/>
      <c r="AM41"/>
      <c r="AN41"/>
      <c r="AO41"/>
      <c r="AP41"/>
      <c r="AQ41"/>
      <c r="AR41"/>
      <c r="AS41"/>
      <c r="AT41"/>
      <c r="AU41"/>
      <c r="AV41"/>
      <c r="AW41"/>
      <c r="AX41"/>
      <c r="AY41"/>
    </row>
    <row r="42" spans="1:51">
      <c r="B42" s="578">
        <f t="shared" si="0"/>
        <v>36</v>
      </c>
      <c r="C42" t="s">
        <v>848</v>
      </c>
      <c r="F42" s="43"/>
      <c r="P42" s="88"/>
    </row>
    <row r="43" spans="1:51">
      <c r="B43" s="578">
        <f t="shared" si="0"/>
        <v>37</v>
      </c>
      <c r="C43" t="s">
        <v>408</v>
      </c>
      <c r="D43" t="s">
        <v>626</v>
      </c>
      <c r="E43" s="205"/>
      <c r="F43" s="93"/>
      <c r="P43" s="88"/>
    </row>
    <row r="44" spans="1:51">
      <c r="B44" s="578">
        <f t="shared" si="0"/>
        <v>38</v>
      </c>
      <c r="C44" t="s">
        <v>792</v>
      </c>
      <c r="D44" t="s">
        <v>796</v>
      </c>
      <c r="E44" s="100">
        <f>+'Schedule 19 - Third Party Trans'!L31</f>
        <v>0</v>
      </c>
      <c r="F44" s="199"/>
      <c r="G44" s="198"/>
      <c r="P44" s="88"/>
    </row>
    <row r="45" spans="1:51">
      <c r="B45" s="578">
        <f t="shared" si="0"/>
        <v>39</v>
      </c>
      <c r="C45" t="s">
        <v>793</v>
      </c>
      <c r="D45" t="s">
        <v>797</v>
      </c>
      <c r="E45" s="100">
        <f>+'Schedule 19 - Third Party Trans'!L32</f>
        <v>0</v>
      </c>
      <c r="F45" s="199"/>
      <c r="G45" s="198"/>
      <c r="P45" s="88"/>
    </row>
    <row r="46" spans="1:51">
      <c r="B46" s="578">
        <f t="shared" si="0"/>
        <v>40</v>
      </c>
      <c r="C46" s="70" t="s">
        <v>794</v>
      </c>
      <c r="D46" t="s">
        <v>798</v>
      </c>
      <c r="E46" s="100">
        <f>+'Schedule 19 - Third Party Trans'!L33</f>
        <v>0</v>
      </c>
      <c r="F46" s="199"/>
      <c r="G46" s="198"/>
      <c r="P46" s="88"/>
    </row>
    <row r="47" spans="1:51">
      <c r="B47" s="578">
        <v>41</v>
      </c>
      <c r="C47" s="70" t="s">
        <v>1411</v>
      </c>
      <c r="D47" t="s">
        <v>1412</v>
      </c>
      <c r="E47" s="100">
        <f>+'Schedule 19 - Third Party Trans'!L34</f>
        <v>0</v>
      </c>
      <c r="F47" s="199"/>
      <c r="G47" s="198"/>
      <c r="H47" s="312"/>
      <c r="P47" s="88"/>
    </row>
    <row r="48" spans="1:51">
      <c r="B48" s="578"/>
      <c r="C48" s="197" t="s">
        <v>846</v>
      </c>
      <c r="D48" t="s">
        <v>1709</v>
      </c>
      <c r="E48" s="119">
        <f>SUM(E44:E47)</f>
        <v>0</v>
      </c>
      <c r="F48" s="72"/>
      <c r="G48" s="196"/>
      <c r="H48" s="312"/>
      <c r="P48" s="88"/>
    </row>
    <row r="49" spans="2:16">
      <c r="B49" s="578">
        <v>42</v>
      </c>
      <c r="C49" s="70"/>
      <c r="E49" s="88"/>
      <c r="P49" s="88"/>
    </row>
    <row r="50" spans="2:16">
      <c r="B50" s="578">
        <f t="shared" si="0"/>
        <v>43</v>
      </c>
      <c r="C50" s="96" t="s">
        <v>627</v>
      </c>
      <c r="E50" s="88"/>
      <c r="P50" s="88"/>
    </row>
    <row r="51" spans="2:16">
      <c r="B51" s="578">
        <f t="shared" si="0"/>
        <v>44</v>
      </c>
      <c r="C51" s="70" t="s">
        <v>628</v>
      </c>
      <c r="D51" t="s">
        <v>1439</v>
      </c>
      <c r="E51" s="281">
        <v>140</v>
      </c>
      <c r="F51" s="69">
        <f>+E51/E53</f>
        <v>0.58577405857740583</v>
      </c>
      <c r="P51" s="88"/>
    </row>
    <row r="52" spans="2:16">
      <c r="B52" s="578">
        <f t="shared" si="0"/>
        <v>45</v>
      </c>
      <c r="C52" s="70" t="s">
        <v>629</v>
      </c>
      <c r="D52" t="s">
        <v>1440</v>
      </c>
      <c r="E52" s="281">
        <v>99</v>
      </c>
      <c r="F52" s="69">
        <f>+E52/E53</f>
        <v>0.41422594142259417</v>
      </c>
      <c r="P52" s="88"/>
    </row>
    <row r="53" spans="2:16">
      <c r="B53" s="578">
        <f t="shared" si="0"/>
        <v>46</v>
      </c>
      <c r="C53" s="70"/>
      <c r="D53" t="s">
        <v>1413</v>
      </c>
      <c r="E53" s="98">
        <f>SUM(E51:E52)</f>
        <v>239</v>
      </c>
      <c r="P53" s="88"/>
    </row>
    <row r="54" spans="2:16">
      <c r="B54" s="578">
        <f t="shared" si="0"/>
        <v>47</v>
      </c>
      <c r="C54" s="70" t="s">
        <v>630</v>
      </c>
      <c r="E54" s="88"/>
      <c r="P54" s="88"/>
    </row>
    <row r="55" spans="2:16">
      <c r="B55" s="578">
        <f t="shared" si="0"/>
        <v>48</v>
      </c>
      <c r="C55" s="70" t="s">
        <v>631</v>
      </c>
      <c r="D55" t="s">
        <v>716</v>
      </c>
      <c r="E55" s="98">
        <f>'Sch 17 - Trans Demand Allocator'!P28</f>
        <v>200.41109969167528</v>
      </c>
      <c r="F55" t="s">
        <v>632</v>
      </c>
      <c r="P55" s="88"/>
    </row>
    <row r="56" spans="2:16">
      <c r="B56" s="578">
        <f t="shared" si="0"/>
        <v>49</v>
      </c>
      <c r="C56" s="70"/>
      <c r="E56" s="88"/>
      <c r="P56" s="88"/>
    </row>
    <row r="57" spans="2:16">
      <c r="B57" s="578">
        <f t="shared" si="0"/>
        <v>50</v>
      </c>
      <c r="C57" s="70" t="s">
        <v>633</v>
      </c>
      <c r="D57" t="s">
        <v>1414</v>
      </c>
      <c r="E57" s="98">
        <f>+E55*F51</f>
        <v>117.39562325035371</v>
      </c>
      <c r="F57" s="69">
        <f>+E57/E59</f>
        <v>0.58577405857740583</v>
      </c>
      <c r="P57" s="88"/>
    </row>
    <row r="58" spans="2:16">
      <c r="B58" s="578">
        <f t="shared" si="0"/>
        <v>51</v>
      </c>
      <c r="C58" s="70" t="s">
        <v>634</v>
      </c>
      <c r="D58" t="s">
        <v>1634</v>
      </c>
      <c r="E58" s="109">
        <f>+E55*F52</f>
        <v>83.015476441321567</v>
      </c>
      <c r="F58" s="69">
        <f>+E58/E59</f>
        <v>0.41422594142259417</v>
      </c>
      <c r="P58" s="88"/>
    </row>
    <row r="59" spans="2:16">
      <c r="B59" s="578">
        <f t="shared" si="0"/>
        <v>52</v>
      </c>
      <c r="C59" s="70"/>
      <c r="D59" t="s">
        <v>1415</v>
      </c>
      <c r="E59" s="98">
        <f>SUM(E57:E58)</f>
        <v>200.41109969167528</v>
      </c>
      <c r="F59" t="s">
        <v>632</v>
      </c>
      <c r="P59" s="88"/>
    </row>
    <row r="60" spans="2:16">
      <c r="B60" s="578">
        <f t="shared" si="0"/>
        <v>53</v>
      </c>
      <c r="C60" s="70"/>
      <c r="E60" s="88"/>
      <c r="P60" s="88"/>
    </row>
    <row r="61" spans="2:16">
      <c r="B61" s="578">
        <f t="shared" si="0"/>
        <v>54</v>
      </c>
      <c r="C61" s="96" t="s">
        <v>635</v>
      </c>
      <c r="E61" s="97"/>
      <c r="P61" s="88"/>
    </row>
    <row r="62" spans="2:16">
      <c r="B62" s="578">
        <f t="shared" si="0"/>
        <v>55</v>
      </c>
      <c r="C62" t="s">
        <v>442</v>
      </c>
      <c r="D62" t="s">
        <v>716</v>
      </c>
      <c r="E62" s="98">
        <f>'Sch 17 - Trans Demand Allocator'!P27</f>
        <v>0</v>
      </c>
      <c r="P62" s="88"/>
    </row>
    <row r="63" spans="2:16">
      <c r="B63" s="578">
        <f t="shared" si="0"/>
        <v>56</v>
      </c>
      <c r="C63" s="70" t="s">
        <v>636</v>
      </c>
      <c r="D63" t="s">
        <v>1416</v>
      </c>
      <c r="E63" s="109">
        <f>+E58</f>
        <v>83.015476441321567</v>
      </c>
      <c r="P63" s="88"/>
    </row>
    <row r="64" spans="2:16">
      <c r="B64" s="578">
        <f t="shared" si="0"/>
        <v>57</v>
      </c>
      <c r="C64" s="96" t="s">
        <v>637</v>
      </c>
      <c r="E64" s="98">
        <f>SUM(E62:E63)</f>
        <v>83.015476441321567</v>
      </c>
      <c r="F64" s="69">
        <f>+E64/E71</f>
        <v>0.40176221307484122</v>
      </c>
      <c r="P64" s="88"/>
    </row>
    <row r="65" spans="2:16">
      <c r="B65" s="578">
        <f t="shared" si="0"/>
        <v>58</v>
      </c>
      <c r="C65" s="70"/>
      <c r="E65" s="98"/>
      <c r="P65" s="88"/>
    </row>
    <row r="66" spans="2:16">
      <c r="B66" s="578">
        <f t="shared" si="0"/>
        <v>59</v>
      </c>
      <c r="C66" s="96" t="s">
        <v>638</v>
      </c>
      <c r="E66" s="98"/>
      <c r="P66" s="88"/>
    </row>
    <row r="67" spans="2:16">
      <c r="B67" s="578">
        <f t="shared" si="0"/>
        <v>60</v>
      </c>
      <c r="C67" s="70" t="s">
        <v>639</v>
      </c>
      <c r="D67" t="s">
        <v>799</v>
      </c>
      <c r="E67" s="98">
        <f>+E57</f>
        <v>117.39562325035371</v>
      </c>
      <c r="P67" s="88"/>
    </row>
    <row r="68" spans="2:16">
      <c r="B68" s="578">
        <f t="shared" si="0"/>
        <v>61</v>
      </c>
      <c r="C68" s="70" t="s">
        <v>640</v>
      </c>
      <c r="D68" t="s">
        <v>716</v>
      </c>
      <c r="E68" s="109">
        <f>'Sch 17 - Trans Demand Allocator'!P29</f>
        <v>6.2172833162041803</v>
      </c>
      <c r="P68" s="88"/>
    </row>
    <row r="69" spans="2:16">
      <c r="B69" s="578">
        <f t="shared" si="0"/>
        <v>62</v>
      </c>
      <c r="C69" s="96" t="s">
        <v>641</v>
      </c>
      <c r="D69" t="s">
        <v>1417</v>
      </c>
      <c r="E69" s="98">
        <f>SUM(E67:E68)</f>
        <v>123.61290656655788</v>
      </c>
      <c r="F69" s="69">
        <f>+E69/E71</f>
        <v>0.59823778692515872</v>
      </c>
      <c r="P69" s="88"/>
    </row>
    <row r="70" spans="2:16">
      <c r="B70" s="578">
        <f t="shared" si="0"/>
        <v>63</v>
      </c>
      <c r="C70" s="70"/>
      <c r="E70" s="98"/>
      <c r="P70" s="88"/>
    </row>
    <row r="71" spans="2:16">
      <c r="B71" s="578">
        <f t="shared" si="0"/>
        <v>64</v>
      </c>
      <c r="C71" s="96" t="s">
        <v>642</v>
      </c>
      <c r="D71" t="s">
        <v>1418</v>
      </c>
      <c r="E71" s="98">
        <f>+E64+E69</f>
        <v>206.62838300787945</v>
      </c>
      <c r="F71" s="69">
        <f>+F64+F69</f>
        <v>1</v>
      </c>
      <c r="P71" s="88"/>
    </row>
    <row r="72" spans="2:16">
      <c r="B72" s="578">
        <f t="shared" si="0"/>
        <v>65</v>
      </c>
      <c r="C72" s="96"/>
      <c r="E72" s="98"/>
      <c r="P72" s="88"/>
    </row>
    <row r="73" spans="2:16">
      <c r="B73" s="578">
        <f t="shared" si="0"/>
        <v>66</v>
      </c>
      <c r="C73" s="96" t="s">
        <v>774</v>
      </c>
      <c r="D73" t="s">
        <v>1419</v>
      </c>
      <c r="E73" s="71">
        <f>+E38*F69</f>
        <v>6540357.4878301239</v>
      </c>
      <c r="P73" s="88"/>
    </row>
    <row r="74" spans="2:16">
      <c r="B74" s="578">
        <f t="shared" si="0"/>
        <v>67</v>
      </c>
      <c r="C74" s="96"/>
      <c r="E74" s="98"/>
      <c r="P74" s="88"/>
    </row>
    <row r="75" spans="2:16">
      <c r="B75" s="578">
        <f t="shared" si="0"/>
        <v>68</v>
      </c>
      <c r="C75" s="96" t="s">
        <v>643</v>
      </c>
      <c r="D75" t="s">
        <v>1420</v>
      </c>
      <c r="E75" s="71">
        <f>+E38-E73</f>
        <v>4392347.9192396263</v>
      </c>
      <c r="F75" s="90"/>
      <c r="P75" s="88"/>
    </row>
    <row r="76" spans="2:16">
      <c r="B76" s="578">
        <f t="shared" si="0"/>
        <v>69</v>
      </c>
      <c r="C76" s="96" t="s">
        <v>644</v>
      </c>
      <c r="D76" t="s">
        <v>800</v>
      </c>
      <c r="E76" s="110">
        <f>+E39</f>
        <v>73682461.119200051</v>
      </c>
      <c r="P76" s="88"/>
    </row>
    <row r="77" spans="2:16">
      <c r="B77" s="578">
        <f t="shared" si="0"/>
        <v>70</v>
      </c>
      <c r="C77" s="96"/>
      <c r="D77" t="s">
        <v>1421</v>
      </c>
      <c r="E77" s="100">
        <f>SUM(E75:E76)</f>
        <v>78074809.038439676</v>
      </c>
      <c r="P77" s="88"/>
    </row>
    <row r="78" spans="2:16">
      <c r="B78" s="578">
        <f t="shared" si="0"/>
        <v>71</v>
      </c>
      <c r="C78" s="70"/>
      <c r="E78" s="97"/>
      <c r="P78" s="88"/>
    </row>
    <row r="79" spans="2:16">
      <c r="B79" s="578">
        <f t="shared" si="0"/>
        <v>72</v>
      </c>
      <c r="C79" t="s">
        <v>1388</v>
      </c>
      <c r="P79" s="88"/>
    </row>
    <row r="80" spans="2:16">
      <c r="B80" s="578">
        <f t="shared" si="0"/>
        <v>73</v>
      </c>
      <c r="E80" t="s">
        <v>409</v>
      </c>
      <c r="P80" s="88"/>
    </row>
    <row r="81" spans="2:16">
      <c r="B81" s="578">
        <f t="shared" si="0"/>
        <v>74</v>
      </c>
      <c r="P81" s="88"/>
    </row>
    <row r="82" spans="2:16">
      <c r="B82" s="578">
        <f t="shared" si="0"/>
        <v>75</v>
      </c>
      <c r="C82" t="s">
        <v>410</v>
      </c>
      <c r="D82" t="s">
        <v>1422</v>
      </c>
      <c r="E82" s="87">
        <f>+E84*12</f>
        <v>53.696567426712292</v>
      </c>
      <c r="F82" t="s">
        <v>645</v>
      </c>
      <c r="P82" s="88"/>
    </row>
    <row r="83" spans="2:16">
      <c r="B83" s="578">
        <f t="shared" si="0"/>
        <v>76</v>
      </c>
      <c r="P83" s="88"/>
    </row>
    <row r="84" spans="2:16">
      <c r="B84" s="578">
        <f t="shared" si="0"/>
        <v>77</v>
      </c>
      <c r="C84" t="s">
        <v>411</v>
      </c>
      <c r="D84" t="s">
        <v>1423</v>
      </c>
      <c r="E84" s="87">
        <f>+E77/E108/1000</f>
        <v>4.4747139522260246</v>
      </c>
      <c r="F84" t="s">
        <v>646</v>
      </c>
      <c r="P84" s="88"/>
    </row>
    <row r="85" spans="2:16">
      <c r="B85" s="578">
        <f t="shared" si="0"/>
        <v>78</v>
      </c>
      <c r="P85" s="88"/>
    </row>
    <row r="86" spans="2:16">
      <c r="B86" s="578">
        <f t="shared" si="0"/>
        <v>79</v>
      </c>
      <c r="C86" t="s">
        <v>412</v>
      </c>
      <c r="D86" t="s">
        <v>1424</v>
      </c>
      <c r="E86" s="87">
        <f>+E82/52</f>
        <v>1.0326262966675441</v>
      </c>
      <c r="F86" t="s">
        <v>647</v>
      </c>
      <c r="P86" s="88"/>
    </row>
    <row r="87" spans="2:16">
      <c r="B87" s="578">
        <f t="shared" si="0"/>
        <v>80</v>
      </c>
      <c r="P87" s="88"/>
    </row>
    <row r="88" spans="2:16">
      <c r="B88" s="578">
        <f t="shared" si="0"/>
        <v>81</v>
      </c>
      <c r="C88" t="s">
        <v>413</v>
      </c>
      <c r="D88" t="s">
        <v>1425</v>
      </c>
      <c r="E88" s="123">
        <f>+E86/6</f>
        <v>0.17210438277792403</v>
      </c>
      <c r="F88" t="s">
        <v>648</v>
      </c>
      <c r="P88" s="88"/>
    </row>
    <row r="89" spans="2:16">
      <c r="B89" s="578">
        <f t="shared" si="0"/>
        <v>82</v>
      </c>
      <c r="P89" s="88"/>
    </row>
    <row r="90" spans="2:16">
      <c r="B90" s="578">
        <f t="shared" si="0"/>
        <v>83</v>
      </c>
      <c r="C90" t="s">
        <v>414</v>
      </c>
      <c r="D90" t="s">
        <v>1426</v>
      </c>
      <c r="E90" s="99">
        <f>+E88/16</f>
        <v>1.0756523923620252E-2</v>
      </c>
      <c r="F90" t="s">
        <v>649</v>
      </c>
      <c r="P90" s="88"/>
    </row>
    <row r="91" spans="2:16">
      <c r="B91" s="578">
        <f t="shared" si="0"/>
        <v>84</v>
      </c>
      <c r="P91" s="88"/>
    </row>
    <row r="92" spans="2:16">
      <c r="B92" s="578">
        <f t="shared" si="0"/>
        <v>85</v>
      </c>
      <c r="P92" s="88"/>
    </row>
    <row r="93" spans="2:16">
      <c r="B93" s="578">
        <f t="shared" si="0"/>
        <v>86</v>
      </c>
      <c r="C93" t="s">
        <v>650</v>
      </c>
      <c r="P93" s="88"/>
    </row>
    <row r="94" spans="2:16">
      <c r="B94" s="578">
        <f t="shared" si="0"/>
        <v>87</v>
      </c>
      <c r="P94" s="88"/>
    </row>
    <row r="95" spans="2:16">
      <c r="B95" s="578">
        <f t="shared" si="0"/>
        <v>88</v>
      </c>
      <c r="C95" t="s">
        <v>442</v>
      </c>
      <c r="D95" t="s">
        <v>854</v>
      </c>
      <c r="E95" s="446">
        <v>0</v>
      </c>
      <c r="F95" s="47"/>
      <c r="G95" s="312"/>
      <c r="P95" s="88"/>
    </row>
    <row r="96" spans="2:16">
      <c r="B96" s="578">
        <f t="shared" si="0"/>
        <v>89</v>
      </c>
      <c r="C96" t="s">
        <v>651</v>
      </c>
      <c r="D96" t="s">
        <v>855</v>
      </c>
      <c r="E96" s="446">
        <f>+(6*107)+(6*91)</f>
        <v>1188</v>
      </c>
      <c r="F96" s="47"/>
      <c r="G96" s="312"/>
      <c r="P96" s="88"/>
    </row>
    <row r="97" spans="2:16">
      <c r="B97" s="578">
        <f t="shared" si="0"/>
        <v>90</v>
      </c>
      <c r="C97" t="s">
        <v>448</v>
      </c>
      <c r="D97" t="s">
        <v>716</v>
      </c>
      <c r="E97" s="568">
        <f>'Sch 17 - Trans Demand Allocator'!O107</f>
        <v>480</v>
      </c>
      <c r="F97" s="47"/>
      <c r="P97" s="88"/>
    </row>
    <row r="98" spans="2:16">
      <c r="B98" s="578">
        <f t="shared" si="0"/>
        <v>91</v>
      </c>
      <c r="C98" t="s">
        <v>449</v>
      </c>
      <c r="D98" t="s">
        <v>716</v>
      </c>
      <c r="E98" s="568"/>
      <c r="P98" s="88"/>
    </row>
    <row r="99" spans="2:16">
      <c r="B99" s="578">
        <f t="shared" si="0"/>
        <v>92</v>
      </c>
      <c r="C99" t="s">
        <v>1580</v>
      </c>
      <c r="D99" t="s">
        <v>716</v>
      </c>
      <c r="E99" s="569">
        <f>SUM('Sch 17 - Trans Demand Allocator'!O108:O111)</f>
        <v>2820</v>
      </c>
      <c r="F99" s="47"/>
      <c r="P99" s="88"/>
    </row>
    <row r="100" spans="2:16">
      <c r="B100" s="578">
        <f t="shared" si="0"/>
        <v>93</v>
      </c>
      <c r="C100" t="s">
        <v>450</v>
      </c>
      <c r="D100" t="s">
        <v>716</v>
      </c>
      <c r="E100" s="568">
        <f>'Sch 17 - Trans Demand Allocator'!O112</f>
        <v>1248</v>
      </c>
      <c r="F100" s="47"/>
      <c r="P100" s="88"/>
    </row>
    <row r="101" spans="2:16">
      <c r="B101" s="578">
        <f t="shared" si="0"/>
        <v>94</v>
      </c>
      <c r="C101" t="s">
        <v>1579</v>
      </c>
      <c r="D101" t="s">
        <v>716</v>
      </c>
      <c r="E101" s="350"/>
      <c r="G101" s="312"/>
      <c r="P101" s="88"/>
    </row>
    <row r="102" spans="2:16">
      <c r="B102" s="578">
        <f t="shared" si="0"/>
        <v>95</v>
      </c>
      <c r="C102" t="s">
        <v>1446</v>
      </c>
      <c r="D102" t="s">
        <v>716</v>
      </c>
      <c r="E102" s="350">
        <f>SUM('Sch 17 - Trans Demand Allocator'!O98:O99)</f>
        <v>2400</v>
      </c>
      <c r="G102" s="312"/>
      <c r="P102" s="88"/>
    </row>
    <row r="103" spans="2:16">
      <c r="B103" s="578">
        <f t="shared" si="0"/>
        <v>96</v>
      </c>
      <c r="C103" t="s">
        <v>1408</v>
      </c>
      <c r="D103" t="s">
        <v>716</v>
      </c>
      <c r="E103" s="350">
        <f>'Sch 17 - Trans Demand Allocator'!O106</f>
        <v>1560</v>
      </c>
      <c r="G103" s="312"/>
      <c r="P103" s="88"/>
    </row>
    <row r="104" spans="2:16">
      <c r="B104" s="578">
        <f t="shared" si="0"/>
        <v>97</v>
      </c>
      <c r="C104" t="s">
        <v>1431</v>
      </c>
      <c r="D104" t="s">
        <v>716</v>
      </c>
      <c r="E104" s="350">
        <f>SUM('Sch 17 - Trans Demand Allocator'!O104:O105)</f>
        <v>2004</v>
      </c>
      <c r="G104" s="312"/>
      <c r="P104" s="88"/>
    </row>
    <row r="105" spans="2:16">
      <c r="B105" s="578">
        <f>+B104+1</f>
        <v>98</v>
      </c>
      <c r="C105" t="s">
        <v>1432</v>
      </c>
      <c r="D105" t="s">
        <v>716</v>
      </c>
      <c r="E105" s="350">
        <f>SUM('Sch 17 - Trans Demand Allocator'!O100:O103)</f>
        <v>3228</v>
      </c>
      <c r="F105" s="47"/>
      <c r="P105" s="88"/>
    </row>
    <row r="106" spans="2:16">
      <c r="B106" s="578">
        <f t="shared" ref="B106:B115" si="1">+B105+1</f>
        <v>99</v>
      </c>
      <c r="C106" t="s">
        <v>1765</v>
      </c>
      <c r="D106" t="s">
        <v>716</v>
      </c>
      <c r="E106" s="350">
        <f>'Sch 17 - Trans Demand Allocator'!O114</f>
        <v>312</v>
      </c>
      <c r="F106" s="47"/>
      <c r="P106" s="88"/>
    </row>
    <row r="107" spans="2:16">
      <c r="B107" s="578">
        <f t="shared" si="1"/>
        <v>100</v>
      </c>
      <c r="C107" t="s">
        <v>1766</v>
      </c>
      <c r="D107" t="s">
        <v>716</v>
      </c>
      <c r="E107" s="350">
        <f>'Sch 17 - Trans Demand Allocator'!O115</f>
        <v>2208</v>
      </c>
      <c r="F107" s="47"/>
      <c r="P107" s="88"/>
    </row>
    <row r="108" spans="2:16">
      <c r="B108" s="578">
        <f t="shared" si="1"/>
        <v>101</v>
      </c>
      <c r="C108" t="s">
        <v>652</v>
      </c>
      <c r="E108" s="117">
        <f>SUM(E95:E107)</f>
        <v>17448</v>
      </c>
      <c r="F108" s="47"/>
      <c r="P108" s="88"/>
    </row>
    <row r="109" spans="2:16">
      <c r="B109" s="578">
        <f t="shared" si="1"/>
        <v>102</v>
      </c>
      <c r="E109" s="47"/>
      <c r="P109" s="88"/>
    </row>
    <row r="110" spans="2:16">
      <c r="B110" s="578">
        <f t="shared" si="1"/>
        <v>103</v>
      </c>
      <c r="C110" s="1" t="s">
        <v>861</v>
      </c>
      <c r="P110" s="88"/>
    </row>
    <row r="111" spans="2:16">
      <c r="B111" s="578">
        <f t="shared" si="1"/>
        <v>104</v>
      </c>
      <c r="C111" t="s">
        <v>862</v>
      </c>
      <c r="D111" t="s">
        <v>1427</v>
      </c>
      <c r="E111" s="87">
        <f>+E84</f>
        <v>4.4747139522260246</v>
      </c>
      <c r="P111" s="88"/>
    </row>
    <row r="112" spans="2:16">
      <c r="B112" s="578">
        <f t="shared" si="1"/>
        <v>105</v>
      </c>
      <c r="C112" t="s">
        <v>863</v>
      </c>
      <c r="E112" s="87">
        <f>+E111*0.15*-1</f>
        <v>-0.67120709283390367</v>
      </c>
      <c r="P112" s="88"/>
    </row>
    <row r="113" spans="2:16">
      <c r="B113" s="578">
        <f t="shared" si="1"/>
        <v>106</v>
      </c>
      <c r="C113" t="s">
        <v>557</v>
      </c>
      <c r="D113" t="s">
        <v>1643</v>
      </c>
      <c r="E113" s="90">
        <f>SUM(E111:E112)</f>
        <v>3.8035068593921211</v>
      </c>
      <c r="P113" s="88"/>
    </row>
    <row r="114" spans="2:16">
      <c r="B114" s="578">
        <f t="shared" si="1"/>
        <v>107</v>
      </c>
      <c r="C114" t="s">
        <v>864</v>
      </c>
      <c r="E114" s="121">
        <f>'Sch 18 - Imputed WAPA Trans Exp'!B30</f>
        <v>-0.81</v>
      </c>
      <c r="P114" s="88"/>
    </row>
    <row r="115" spans="2:16">
      <c r="B115" s="578">
        <f t="shared" si="1"/>
        <v>108</v>
      </c>
      <c r="C115" t="s">
        <v>865</v>
      </c>
      <c r="D115" t="s">
        <v>1846</v>
      </c>
      <c r="E115" s="90">
        <f>SUM(E113:E114)</f>
        <v>2.993506859392121</v>
      </c>
    </row>
  </sheetData>
  <mergeCells count="1">
    <mergeCell ref="C4:G4"/>
  </mergeCells>
  <pageMargins left="0.7" right="0.7" top="0.75" bottom="0.75" header="0.3" footer="0.3"/>
  <pageSetup scale="54" fitToHeight="0" orientation="landscape" r:id="rId1"/>
  <rowBreaks count="1" manualBreakCount="1">
    <brk id="59"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130"/>
  <sheetViews>
    <sheetView zoomScale="80" zoomScaleNormal="80" workbookViewId="0">
      <selection activeCell="R20" sqref="R20"/>
    </sheetView>
  </sheetViews>
  <sheetFormatPr defaultColWidth="9.140625" defaultRowHeight="15"/>
  <cols>
    <col min="1" max="1" width="46.5703125" customWidth="1"/>
    <col min="2" max="2" width="30.42578125" customWidth="1"/>
    <col min="3" max="3" width="22.85546875" customWidth="1"/>
    <col min="4" max="11" width="13" bestFit="1" customWidth="1"/>
    <col min="12" max="14" width="14" bestFit="1" customWidth="1"/>
    <col min="15" max="15" width="11.28515625" bestFit="1" customWidth="1"/>
    <col min="16" max="16" width="10.140625" bestFit="1" customWidth="1"/>
    <col min="18" max="18" width="26.28515625" bestFit="1" customWidth="1"/>
  </cols>
  <sheetData>
    <row r="1" spans="1:18">
      <c r="A1" s="1" t="s">
        <v>0</v>
      </c>
    </row>
    <row r="2" spans="1:18">
      <c r="A2" s="1" t="s">
        <v>859</v>
      </c>
    </row>
    <row r="3" spans="1:18" ht="80.25" customHeight="1">
      <c r="B3" s="596"/>
      <c r="C3" s="596"/>
      <c r="D3" s="596"/>
      <c r="E3" s="596"/>
      <c r="F3" s="596"/>
      <c r="G3" s="596"/>
      <c r="H3" s="596"/>
      <c r="I3" s="596"/>
      <c r="J3" s="596"/>
      <c r="K3" s="596"/>
      <c r="L3" s="596"/>
      <c r="M3" s="596"/>
    </row>
    <row r="4" spans="1:18">
      <c r="A4" s="1" t="s">
        <v>653</v>
      </c>
    </row>
    <row r="5" spans="1:18">
      <c r="A5" t="s">
        <v>1389</v>
      </c>
      <c r="B5" s="95">
        <v>2.7E-2</v>
      </c>
      <c r="C5" s="4" t="s">
        <v>422</v>
      </c>
      <c r="D5" s="4" t="s">
        <v>423</v>
      </c>
      <c r="E5" s="4" t="s">
        <v>16</v>
      </c>
      <c r="F5" s="4" t="s">
        <v>17</v>
      </c>
      <c r="G5" s="4" t="s">
        <v>18</v>
      </c>
      <c r="H5" s="4" t="s">
        <v>19</v>
      </c>
      <c r="I5" s="4" t="s">
        <v>20</v>
      </c>
      <c r="J5" s="4" t="s">
        <v>21</v>
      </c>
      <c r="K5" s="4" t="s">
        <v>424</v>
      </c>
      <c r="L5" s="4" t="s">
        <v>425</v>
      </c>
      <c r="M5" s="4" t="s">
        <v>426</v>
      </c>
      <c r="N5" s="4" t="s">
        <v>427</v>
      </c>
      <c r="O5" s="4" t="s">
        <v>55</v>
      </c>
      <c r="P5" s="4" t="s">
        <v>281</v>
      </c>
    </row>
    <row r="6" spans="1:18">
      <c r="A6" s="200" t="s">
        <v>1734</v>
      </c>
      <c r="B6" s="209"/>
      <c r="C6" s="581">
        <v>45306</v>
      </c>
      <c r="D6" s="581">
        <v>45329</v>
      </c>
      <c r="E6" s="581">
        <v>45375</v>
      </c>
      <c r="F6" s="581">
        <v>45383</v>
      </c>
      <c r="G6" s="581">
        <v>45443</v>
      </c>
      <c r="H6" s="581">
        <v>45456</v>
      </c>
      <c r="I6" s="581">
        <v>45489</v>
      </c>
      <c r="J6" s="581">
        <v>45524</v>
      </c>
      <c r="K6" s="581">
        <v>45547</v>
      </c>
      <c r="L6" s="581">
        <v>45566</v>
      </c>
      <c r="M6" s="581">
        <v>45602</v>
      </c>
      <c r="N6" s="581">
        <v>45643</v>
      </c>
    </row>
    <row r="7" spans="1:18">
      <c r="A7" s="200" t="s">
        <v>1735</v>
      </c>
      <c r="C7" s="212">
        <v>800</v>
      </c>
      <c r="D7" s="212">
        <v>1900</v>
      </c>
      <c r="E7" s="212">
        <v>2000</v>
      </c>
      <c r="F7" s="212">
        <v>2000</v>
      </c>
      <c r="G7" s="212">
        <v>1700</v>
      </c>
      <c r="H7" s="212">
        <v>1700</v>
      </c>
      <c r="I7" s="212">
        <v>1700</v>
      </c>
      <c r="J7" s="212">
        <v>1800</v>
      </c>
      <c r="K7" s="212">
        <v>1700</v>
      </c>
      <c r="L7" s="212">
        <v>1700</v>
      </c>
      <c r="M7" s="212">
        <v>1900</v>
      </c>
      <c r="N7" s="212">
        <v>800</v>
      </c>
    </row>
    <row r="8" spans="1:18">
      <c r="A8" s="1" t="s">
        <v>428</v>
      </c>
    </row>
    <row r="9" spans="1:18">
      <c r="A9" t="s">
        <v>428</v>
      </c>
      <c r="C9" s="286">
        <v>1269.731</v>
      </c>
      <c r="D9" s="286">
        <v>1415.067</v>
      </c>
      <c r="E9" s="286">
        <v>1350.8969999999999</v>
      </c>
      <c r="F9" s="286">
        <v>1348.213</v>
      </c>
      <c r="G9" s="286">
        <v>1638.21</v>
      </c>
      <c r="H9" s="286">
        <v>2007.049</v>
      </c>
      <c r="I9" s="286">
        <v>2049.614</v>
      </c>
      <c r="J9" s="286">
        <v>2146.6080000000002</v>
      </c>
      <c r="K9" s="286">
        <v>1817.279</v>
      </c>
      <c r="L9" s="286">
        <v>1603.0940000000001</v>
      </c>
      <c r="M9" s="286">
        <v>1462.4680000000001</v>
      </c>
      <c r="N9" s="286">
        <v>1440.7090000000001</v>
      </c>
      <c r="O9" s="98">
        <f>SUM(C9:N9)</f>
        <v>19548.938999999998</v>
      </c>
      <c r="P9" s="98">
        <f>AVERAGE(C9:N9)</f>
        <v>1629.0782499999998</v>
      </c>
    </row>
    <row r="10" spans="1:18">
      <c r="A10" t="s">
        <v>429</v>
      </c>
      <c r="C10" s="304">
        <v>0</v>
      </c>
      <c r="D10" s="304">
        <v>0</v>
      </c>
      <c r="E10" s="304">
        <v>0</v>
      </c>
      <c r="F10" s="304">
        <v>0</v>
      </c>
      <c r="G10" s="304">
        <v>0</v>
      </c>
      <c r="H10" s="304">
        <v>0</v>
      </c>
      <c r="I10" s="304">
        <v>0</v>
      </c>
      <c r="J10" s="304">
        <v>0</v>
      </c>
      <c r="K10" s="304">
        <v>0</v>
      </c>
      <c r="L10" s="304">
        <v>0</v>
      </c>
      <c r="M10" s="304">
        <v>0</v>
      </c>
      <c r="N10" s="304">
        <v>0</v>
      </c>
      <c r="O10" s="98">
        <f>SUM(C10:N10)</f>
        <v>0</v>
      </c>
      <c r="P10" s="98">
        <f>AVERAGE(C10:N10)</f>
        <v>0</v>
      </c>
      <c r="Q10" s="69"/>
    </row>
    <row r="11" spans="1:18">
      <c r="A11" s="1" t="s">
        <v>430</v>
      </c>
      <c r="C11" s="306">
        <f>+C9-C10</f>
        <v>1269.731</v>
      </c>
      <c r="D11" s="306">
        <f t="shared" ref="D11:N11" si="0">+D9-D10</f>
        <v>1415.067</v>
      </c>
      <c r="E11" s="306">
        <f t="shared" si="0"/>
        <v>1350.8969999999999</v>
      </c>
      <c r="F11" s="306">
        <f t="shared" si="0"/>
        <v>1348.213</v>
      </c>
      <c r="G11" s="306">
        <f t="shared" si="0"/>
        <v>1638.21</v>
      </c>
      <c r="H11" s="306">
        <f t="shared" si="0"/>
        <v>2007.049</v>
      </c>
      <c r="I11" s="306">
        <f t="shared" si="0"/>
        <v>2049.614</v>
      </c>
      <c r="J11" s="306">
        <f t="shared" si="0"/>
        <v>2146.6080000000002</v>
      </c>
      <c r="K11" s="306">
        <f t="shared" si="0"/>
        <v>1817.279</v>
      </c>
      <c r="L11" s="306">
        <f t="shared" si="0"/>
        <v>1603.0940000000001</v>
      </c>
      <c r="M11" s="306">
        <f t="shared" si="0"/>
        <v>1462.4680000000001</v>
      </c>
      <c r="N11" s="306">
        <f t="shared" si="0"/>
        <v>1440.7090000000001</v>
      </c>
      <c r="O11" s="98">
        <f>SUM(C11:N11)</f>
        <v>19548.938999999998</v>
      </c>
      <c r="P11" s="98">
        <f>AVERAGE(C11:N11)</f>
        <v>1629.0782499999998</v>
      </c>
      <c r="Q11" s="69">
        <f>+P11/$P$54</f>
        <v>0.44945593875532508</v>
      </c>
      <c r="R11" t="s">
        <v>717</v>
      </c>
    </row>
    <row r="12" spans="1:18">
      <c r="C12" s="304"/>
      <c r="D12" s="304"/>
      <c r="E12" s="304"/>
      <c r="F12" s="304"/>
      <c r="G12" s="304"/>
      <c r="H12" s="304"/>
      <c r="I12" s="304"/>
      <c r="J12" s="304"/>
      <c r="K12" s="304"/>
      <c r="L12" s="304"/>
      <c r="M12" s="304"/>
      <c r="N12" s="304"/>
      <c r="O12" s="98"/>
      <c r="P12" s="98"/>
      <c r="Q12" s="69"/>
    </row>
    <row r="13" spans="1:18">
      <c r="A13" s="1" t="s">
        <v>431</v>
      </c>
      <c r="C13" s="304"/>
      <c r="D13" s="304"/>
      <c r="E13" s="304"/>
      <c r="F13" s="304"/>
      <c r="G13" s="304"/>
      <c r="H13" s="304"/>
      <c r="I13" s="304"/>
      <c r="J13" s="304"/>
      <c r="K13" s="304"/>
      <c r="L13" s="304"/>
      <c r="M13" s="304"/>
      <c r="N13" s="304"/>
      <c r="O13" s="98"/>
      <c r="P13" s="98"/>
      <c r="Q13" s="69"/>
    </row>
    <row r="14" spans="1:18">
      <c r="A14" t="s">
        <v>432</v>
      </c>
      <c r="B14" t="s">
        <v>433</v>
      </c>
      <c r="C14" s="304">
        <f>+C81/(1-$B$5)</f>
        <v>50.05858170606372</v>
      </c>
      <c r="D14" s="304">
        <f t="shared" ref="D14:N15" si="1">+D81/(1-$B$5)</f>
        <v>46.224049331963002</v>
      </c>
      <c r="E14" s="304">
        <f t="shared" si="1"/>
        <v>46.492291880781096</v>
      </c>
      <c r="F14" s="304">
        <f t="shared" si="1"/>
        <v>45.601233299075027</v>
      </c>
      <c r="G14" s="304">
        <f t="shared" si="1"/>
        <v>59.289825282631043</v>
      </c>
      <c r="H14" s="304">
        <f t="shared" si="1"/>
        <v>64.218910585817056</v>
      </c>
      <c r="I14" s="304">
        <f t="shared" si="1"/>
        <v>67.491264131551901</v>
      </c>
      <c r="J14" s="304">
        <f t="shared" si="1"/>
        <v>65.526207605344297</v>
      </c>
      <c r="K14" s="304">
        <f t="shared" si="1"/>
        <v>61.445015416238441</v>
      </c>
      <c r="L14" s="304">
        <f t="shared" si="1"/>
        <v>56.245632065775951</v>
      </c>
      <c r="M14" s="304">
        <f t="shared" si="1"/>
        <v>46.676258992805757</v>
      </c>
      <c r="N14" s="304">
        <f t="shared" si="1"/>
        <v>51.552929085303191</v>
      </c>
      <c r="O14" s="98">
        <f t="shared" ref="O14:O20" si="2">SUM(C14:N14)</f>
        <v>660.82219938335049</v>
      </c>
      <c r="P14" s="98">
        <f>AVERAGE(C14:N14)</f>
        <v>55.068516615279208</v>
      </c>
      <c r="Q14" s="69"/>
    </row>
    <row r="15" spans="1:18">
      <c r="A15" t="s">
        <v>434</v>
      </c>
      <c r="B15" t="s">
        <v>433</v>
      </c>
      <c r="C15" s="304">
        <f>+C82/(1-$B$5)</f>
        <v>167.52312435765674</v>
      </c>
      <c r="D15" s="304">
        <f>+D82/(1-$B$5)</f>
        <v>183.96711202466599</v>
      </c>
      <c r="E15" s="304">
        <f t="shared" si="1"/>
        <v>162.38437821171635</v>
      </c>
      <c r="F15" s="304">
        <f t="shared" si="1"/>
        <v>190.13360739979444</v>
      </c>
      <c r="G15" s="304">
        <f t="shared" si="1"/>
        <v>209.66084275436793</v>
      </c>
      <c r="H15" s="304">
        <f t="shared" si="1"/>
        <v>260.02055498458378</v>
      </c>
      <c r="I15" s="304">
        <f t="shared" si="1"/>
        <v>267.21479958890029</v>
      </c>
      <c r="J15" s="304">
        <f t="shared" si="1"/>
        <v>283.65878725590954</v>
      </c>
      <c r="K15" s="304">
        <f t="shared" si="1"/>
        <v>218.91058581706065</v>
      </c>
      <c r="L15" s="304">
        <f t="shared" si="1"/>
        <v>151.07913669064749</v>
      </c>
      <c r="M15" s="304">
        <f t="shared" si="1"/>
        <v>168.5508735868448</v>
      </c>
      <c r="N15" s="304">
        <f t="shared" si="1"/>
        <v>192.18910585817062</v>
      </c>
      <c r="O15" s="199">
        <f t="shared" si="2"/>
        <v>2455.2929085303185</v>
      </c>
      <c r="P15" s="199">
        <f t="shared" ref="P15:P22" si="3">AVERAGE(C15:N15)</f>
        <v>204.60774237752653</v>
      </c>
      <c r="Q15" s="209"/>
    </row>
    <row r="16" spans="1:18">
      <c r="A16" t="s">
        <v>435</v>
      </c>
      <c r="B16" t="s">
        <v>433</v>
      </c>
      <c r="C16" s="304">
        <f>+C83/(1-$B$5)</f>
        <v>48.30421377183967</v>
      </c>
      <c r="D16" s="304">
        <f t="shared" ref="C16:N22" si="4">+D83/(1-$B$5)</f>
        <v>52.415210688591984</v>
      </c>
      <c r="E16" s="304">
        <f t="shared" si="4"/>
        <v>24.665981500513876</v>
      </c>
      <c r="F16" s="304">
        <f t="shared" si="4"/>
        <v>24.665981500513876</v>
      </c>
      <c r="G16" s="304">
        <f t="shared" si="4"/>
        <v>24.665981500513876</v>
      </c>
      <c r="H16" s="304">
        <f t="shared" si="4"/>
        <v>34.943473792394656</v>
      </c>
      <c r="I16" s="304">
        <f t="shared" si="4"/>
        <v>31.860226104830421</v>
      </c>
      <c r="J16" s="304">
        <f t="shared" si="4"/>
        <v>35.971223021582738</v>
      </c>
      <c r="K16" s="304">
        <f t="shared" si="4"/>
        <v>27.749229188078111</v>
      </c>
      <c r="L16" s="304">
        <f t="shared" si="4"/>
        <v>25.693730729701954</v>
      </c>
      <c r="M16" s="304">
        <f t="shared" si="4"/>
        <v>29.804727646454268</v>
      </c>
      <c r="N16" s="304">
        <f t="shared" si="4"/>
        <v>31.860226104830421</v>
      </c>
      <c r="O16" s="199">
        <f t="shared" si="2"/>
        <v>392.60020554984578</v>
      </c>
      <c r="P16" s="199">
        <f t="shared" si="3"/>
        <v>32.716683795820479</v>
      </c>
      <c r="Q16" s="209"/>
    </row>
    <row r="17" spans="1:18">
      <c r="A17" t="s">
        <v>436</v>
      </c>
      <c r="B17" t="s">
        <v>433</v>
      </c>
      <c r="C17" s="304">
        <f>+C84/(1-$B$5)</f>
        <v>23.510791366906478</v>
      </c>
      <c r="D17" s="304">
        <f t="shared" si="4"/>
        <v>25.701952723535456</v>
      </c>
      <c r="E17" s="304">
        <f t="shared" si="4"/>
        <v>23.843782117163411</v>
      </c>
      <c r="F17" s="304">
        <f t="shared" si="4"/>
        <v>23.520041109969171</v>
      </c>
      <c r="G17" s="304">
        <f t="shared" si="4"/>
        <v>22.088386433710177</v>
      </c>
      <c r="H17" s="304">
        <f t="shared" si="4"/>
        <v>32.996916752312437</v>
      </c>
      <c r="I17" s="304">
        <f t="shared" si="4"/>
        <v>29.864337101747175</v>
      </c>
      <c r="J17" s="304">
        <f t="shared" si="4"/>
        <v>29.959917780061669</v>
      </c>
      <c r="K17" s="304">
        <f t="shared" si="4"/>
        <v>21.463514902363823</v>
      </c>
      <c r="L17" s="304">
        <f t="shared" si="4"/>
        <v>21.102774922918808</v>
      </c>
      <c r="M17" s="304">
        <f t="shared" si="4"/>
        <v>23.46454265159301</v>
      </c>
      <c r="N17" s="304">
        <f t="shared" si="4"/>
        <v>24.314491264131554</v>
      </c>
      <c r="O17" s="98">
        <f t="shared" si="2"/>
        <v>301.83144912641313</v>
      </c>
      <c r="P17" s="98">
        <f t="shared" si="3"/>
        <v>25.152620760534429</v>
      </c>
      <c r="Q17" s="69"/>
    </row>
    <row r="18" spans="1:18">
      <c r="A18" t="s">
        <v>437</v>
      </c>
      <c r="C18" s="304">
        <f>+C85/(1-$B$5)</f>
        <v>0</v>
      </c>
      <c r="D18" s="304">
        <f>+D85/(1-$B$5)</f>
        <v>0</v>
      </c>
      <c r="E18" s="304">
        <f t="shared" si="4"/>
        <v>0</v>
      </c>
      <c r="F18" s="304">
        <f t="shared" si="4"/>
        <v>0</v>
      </c>
      <c r="G18" s="304">
        <f t="shared" si="4"/>
        <v>0</v>
      </c>
      <c r="H18" s="304">
        <f t="shared" si="4"/>
        <v>0</v>
      </c>
      <c r="I18" s="304">
        <f t="shared" si="4"/>
        <v>0</v>
      </c>
      <c r="J18" s="304">
        <f t="shared" si="4"/>
        <v>0</v>
      </c>
      <c r="K18" s="304">
        <f t="shared" si="4"/>
        <v>0</v>
      </c>
      <c r="L18" s="304">
        <f t="shared" si="4"/>
        <v>0</v>
      </c>
      <c r="M18" s="304">
        <f t="shared" si="4"/>
        <v>0</v>
      </c>
      <c r="N18" s="304">
        <f t="shared" si="4"/>
        <v>0</v>
      </c>
      <c r="O18" s="98">
        <f t="shared" si="2"/>
        <v>0</v>
      </c>
      <c r="P18" s="98">
        <f t="shared" si="3"/>
        <v>0</v>
      </c>
      <c r="Q18" s="69"/>
    </row>
    <row r="19" spans="1:18">
      <c r="A19" t="s">
        <v>438</v>
      </c>
      <c r="B19" t="s">
        <v>433</v>
      </c>
      <c r="C19" s="304">
        <f t="shared" si="4"/>
        <v>0</v>
      </c>
      <c r="D19" s="304">
        <f t="shared" si="4"/>
        <v>0</v>
      </c>
      <c r="E19" s="304">
        <f t="shared" si="4"/>
        <v>0</v>
      </c>
      <c r="F19" s="304">
        <f t="shared" si="4"/>
        <v>0</v>
      </c>
      <c r="G19" s="304">
        <f t="shared" si="4"/>
        <v>0</v>
      </c>
      <c r="H19" s="304">
        <f>+H86/(1-$B$5)</f>
        <v>0</v>
      </c>
      <c r="I19" s="304">
        <f t="shared" si="4"/>
        <v>0</v>
      </c>
      <c r="J19" s="304">
        <f t="shared" si="4"/>
        <v>0</v>
      </c>
      <c r="K19" s="304">
        <f t="shared" si="4"/>
        <v>0</v>
      </c>
      <c r="L19" s="304">
        <f t="shared" si="4"/>
        <v>0</v>
      </c>
      <c r="M19" s="304">
        <f t="shared" si="4"/>
        <v>0</v>
      </c>
      <c r="N19" s="304">
        <f t="shared" si="4"/>
        <v>0</v>
      </c>
      <c r="O19" s="98">
        <f t="shared" si="2"/>
        <v>0</v>
      </c>
      <c r="P19" s="98">
        <f t="shared" si="3"/>
        <v>0</v>
      </c>
      <c r="Q19" s="69"/>
    </row>
    <row r="20" spans="1:18">
      <c r="A20" t="s">
        <v>439</v>
      </c>
      <c r="C20" s="304">
        <f t="shared" si="4"/>
        <v>29.299075025693732</v>
      </c>
      <c r="D20" s="304">
        <f t="shared" si="4"/>
        <v>39.811921891058581</v>
      </c>
      <c r="E20" s="304">
        <f t="shared" si="4"/>
        <v>31.84994861253854</v>
      </c>
      <c r="F20" s="304">
        <f t="shared" si="4"/>
        <v>32.313463514902367</v>
      </c>
      <c r="G20" s="304">
        <f t="shared" si="4"/>
        <v>26.738951695786227</v>
      </c>
      <c r="H20" s="304">
        <f>+H87/(1-$B$5)</f>
        <v>30.895169578622816</v>
      </c>
      <c r="I20" s="304">
        <f t="shared" si="4"/>
        <v>28.903391572456322</v>
      </c>
      <c r="J20" s="304">
        <f t="shared" si="4"/>
        <v>27.650565262076054</v>
      </c>
      <c r="K20" s="304">
        <f t="shared" si="4"/>
        <v>26.593011305241522</v>
      </c>
      <c r="L20" s="304">
        <f t="shared" si="4"/>
        <v>22.065775950668037</v>
      </c>
      <c r="M20" s="304">
        <f t="shared" si="4"/>
        <v>29.210688591983558</v>
      </c>
      <c r="N20" s="304">
        <f t="shared" si="4"/>
        <v>31.09146968139774</v>
      </c>
      <c r="O20" s="98">
        <f t="shared" si="2"/>
        <v>356.42343268242541</v>
      </c>
      <c r="P20" s="98">
        <f t="shared" si="3"/>
        <v>29.701952723535452</v>
      </c>
      <c r="Q20" s="69"/>
    </row>
    <row r="21" spans="1:18">
      <c r="A21" t="s">
        <v>1390</v>
      </c>
      <c r="C21" s="304">
        <f>+C88/(1-$B$5)</f>
        <v>3.4254881808838644</v>
      </c>
      <c r="D21" s="304">
        <f t="shared" si="4"/>
        <v>3.5981500513874614</v>
      </c>
      <c r="E21" s="304">
        <f t="shared" si="4"/>
        <v>3.2816032887975335</v>
      </c>
      <c r="F21" s="304">
        <f t="shared" si="4"/>
        <v>3.2230215827338133</v>
      </c>
      <c r="G21" s="304">
        <f t="shared" si="4"/>
        <v>2.6721479958890031</v>
      </c>
      <c r="H21" s="304">
        <f>+H88/(1-$B$5)</f>
        <v>3.4131551901336077</v>
      </c>
      <c r="I21" s="304">
        <f t="shared" si="4"/>
        <v>3.6043165467625902</v>
      </c>
      <c r="J21" s="304">
        <f t="shared" si="4"/>
        <v>3.4203494347379237</v>
      </c>
      <c r="K21" s="304">
        <f t="shared" si="4"/>
        <v>2.7183967112024665</v>
      </c>
      <c r="L21" s="304">
        <f t="shared" si="4"/>
        <v>2.8972250770811923</v>
      </c>
      <c r="M21" s="304">
        <f t="shared" si="4"/>
        <v>3.4624871531346355</v>
      </c>
      <c r="N21" s="304">
        <f t="shared" si="4"/>
        <v>3.8756423432682428</v>
      </c>
      <c r="O21" s="98">
        <f>SUM(C21:N21)</f>
        <v>39.591983556012337</v>
      </c>
      <c r="P21" s="98">
        <f t="shared" si="3"/>
        <v>3.2993319630010283</v>
      </c>
      <c r="Q21" s="69"/>
    </row>
    <row r="22" spans="1:18">
      <c r="A22" t="s">
        <v>1430</v>
      </c>
      <c r="C22" s="304">
        <f t="shared" si="4"/>
        <v>54.156217882836593</v>
      </c>
      <c r="D22" s="304">
        <f t="shared" si="4"/>
        <v>54.165467625899282</v>
      </c>
      <c r="E22" s="304">
        <f t="shared" si="4"/>
        <v>48.261048304213773</v>
      </c>
      <c r="F22" s="304">
        <f t="shared" si="4"/>
        <v>45.605344295991785</v>
      </c>
      <c r="G22" s="304">
        <f t="shared" si="4"/>
        <v>30.760534429599179</v>
      </c>
      <c r="H22" s="304">
        <f>+H89/(1-$B$5)</f>
        <v>36.372045220966086</v>
      </c>
      <c r="I22" s="304">
        <f t="shared" si="4"/>
        <v>37.061664953751283</v>
      </c>
      <c r="J22" s="304">
        <f t="shared" si="4"/>
        <v>36.822199383350465</v>
      </c>
      <c r="K22" s="304">
        <f t="shared" si="4"/>
        <v>30.414182939362796</v>
      </c>
      <c r="L22" s="304">
        <f t="shared" si="4"/>
        <v>31.217882836587872</v>
      </c>
      <c r="M22" s="304">
        <f t="shared" si="4"/>
        <v>55.159301130524156</v>
      </c>
      <c r="N22" s="304">
        <f t="shared" si="4"/>
        <v>58.643371017471743</v>
      </c>
      <c r="O22" s="199">
        <f>SUM(C22:N22)</f>
        <v>518.63926002055507</v>
      </c>
      <c r="P22" s="199">
        <f t="shared" si="3"/>
        <v>43.219938335046258</v>
      </c>
      <c r="Q22" s="209"/>
    </row>
    <row r="23" spans="1:18">
      <c r="A23" t="s">
        <v>1635</v>
      </c>
      <c r="C23" s="304">
        <f>+C90/(1-$B$5)</f>
        <v>2.5817060637204521</v>
      </c>
      <c r="D23" s="304">
        <f t="shared" ref="D23:N23" si="5">+D90/(1-$B$5)</f>
        <v>2.7687564234326825</v>
      </c>
      <c r="E23" s="304">
        <f t="shared" si="5"/>
        <v>2.7882836587872561</v>
      </c>
      <c r="F23" s="304">
        <f t="shared" si="5"/>
        <v>2.541623843782117</v>
      </c>
      <c r="G23" s="304">
        <f t="shared" si="5"/>
        <v>2.0554984583761562</v>
      </c>
      <c r="H23" s="304">
        <f t="shared" si="5"/>
        <v>2.8180883864337103</v>
      </c>
      <c r="I23" s="304">
        <f t="shared" si="5"/>
        <v>2.9301130524152108</v>
      </c>
      <c r="J23" s="304">
        <f t="shared" si="5"/>
        <v>2.0554984583761562</v>
      </c>
      <c r="K23" s="304">
        <f t="shared" si="5"/>
        <v>2.0554984583761562</v>
      </c>
      <c r="L23" s="304">
        <f t="shared" si="5"/>
        <v>3.0832476875642345</v>
      </c>
      <c r="M23" s="304">
        <f t="shared" si="5"/>
        <v>2.0554984583761562</v>
      </c>
      <c r="N23" s="304">
        <f t="shared" si="5"/>
        <v>2.0554984583761562</v>
      </c>
      <c r="O23" s="199">
        <f>SUM(C23:N23)</f>
        <v>29.789311408016449</v>
      </c>
      <c r="P23" s="199">
        <f>AVERAGE(C23:N23)</f>
        <v>2.4824426173347041</v>
      </c>
      <c r="Q23" s="209"/>
    </row>
    <row r="24" spans="1:18">
      <c r="A24" s="1" t="s">
        <v>440</v>
      </c>
      <c r="C24" s="304">
        <f>SUM(C14:C23)</f>
        <v>378.85919835560122</v>
      </c>
      <c r="D24" s="304">
        <f t="shared" ref="D24:N24" si="6">SUM(D14:D23)</f>
        <v>408.65262076053443</v>
      </c>
      <c r="E24" s="304">
        <f t="shared" si="6"/>
        <v>343.56731757451183</v>
      </c>
      <c r="F24" s="304">
        <f t="shared" si="6"/>
        <v>367.60431654676262</v>
      </c>
      <c r="G24" s="304">
        <f t="shared" si="6"/>
        <v>377.93216855087366</v>
      </c>
      <c r="H24" s="304">
        <f t="shared" si="6"/>
        <v>465.67831449126413</v>
      </c>
      <c r="I24" s="304">
        <f t="shared" si="6"/>
        <v>468.93011305241527</v>
      </c>
      <c r="J24" s="304">
        <f t="shared" si="6"/>
        <v>485.06474820143887</v>
      </c>
      <c r="K24" s="304">
        <f t="shared" si="6"/>
        <v>391.34943473792396</v>
      </c>
      <c r="L24" s="304">
        <f t="shared" si="6"/>
        <v>313.38540596094549</v>
      </c>
      <c r="M24" s="304">
        <f t="shared" si="6"/>
        <v>358.38437821171641</v>
      </c>
      <c r="N24" s="304">
        <f t="shared" si="6"/>
        <v>395.5827338129497</v>
      </c>
      <c r="O24" s="98">
        <f>SUM(O14:O23)</f>
        <v>4754.9907502569376</v>
      </c>
      <c r="P24" s="98">
        <f>AVERAGE(C24:N24)</f>
        <v>396.24922918807812</v>
      </c>
      <c r="Q24" s="69">
        <f>+P24/$P$54</f>
        <v>0.10932352039308219</v>
      </c>
      <c r="R24" t="s">
        <v>718</v>
      </c>
    </row>
    <row r="25" spans="1:18">
      <c r="C25" s="304"/>
      <c r="D25" s="304"/>
      <c r="E25" s="304"/>
      <c r="F25" s="304"/>
      <c r="G25" s="304"/>
      <c r="H25" s="304"/>
      <c r="I25" s="304"/>
      <c r="J25" s="304"/>
      <c r="K25" s="304"/>
      <c r="L25" s="304"/>
      <c r="M25" s="304"/>
      <c r="N25" s="304"/>
      <c r="O25" s="98"/>
      <c r="P25" s="98"/>
      <c r="Q25" s="69"/>
    </row>
    <row r="26" spans="1:18">
      <c r="A26" s="1" t="s">
        <v>441</v>
      </c>
      <c r="C26" s="304"/>
      <c r="D26" s="304"/>
      <c r="E26" s="304"/>
      <c r="F26" s="304"/>
      <c r="G26" s="304"/>
      <c r="H26" s="304"/>
      <c r="I26" s="304"/>
      <c r="J26" s="304"/>
      <c r="K26" s="304"/>
      <c r="L26" s="304"/>
      <c r="M26" s="304"/>
      <c r="N26" s="304"/>
      <c r="O26" s="98"/>
      <c r="P26" s="98"/>
      <c r="Q26" s="69"/>
    </row>
    <row r="27" spans="1:18">
      <c r="A27" t="s">
        <v>442</v>
      </c>
      <c r="C27" s="304">
        <f t="shared" ref="C27:N28" si="7">+C93/(1-$B$5)</f>
        <v>0</v>
      </c>
      <c r="D27" s="304">
        <f>+D93/(1-$B$5)</f>
        <v>0</v>
      </c>
      <c r="E27" s="304">
        <f t="shared" si="7"/>
        <v>0</v>
      </c>
      <c r="F27" s="304">
        <f t="shared" si="7"/>
        <v>0</v>
      </c>
      <c r="G27" s="304">
        <f t="shared" si="7"/>
        <v>0</v>
      </c>
      <c r="H27" s="304">
        <f t="shared" si="7"/>
        <v>0</v>
      </c>
      <c r="I27" s="304">
        <f t="shared" si="7"/>
        <v>0</v>
      </c>
      <c r="J27" s="304">
        <f t="shared" si="7"/>
        <v>0</v>
      </c>
      <c r="K27" s="304">
        <f t="shared" si="7"/>
        <v>0</v>
      </c>
      <c r="L27" s="304">
        <f t="shared" si="7"/>
        <v>0</v>
      </c>
      <c r="M27" s="304">
        <f t="shared" si="7"/>
        <v>0</v>
      </c>
      <c r="N27" s="304">
        <f t="shared" si="7"/>
        <v>0</v>
      </c>
      <c r="O27" s="98">
        <f>SUM(C27:N27)</f>
        <v>0</v>
      </c>
      <c r="P27" s="98">
        <f>AVERAGE(C27:N27)</f>
        <v>0</v>
      </c>
      <c r="Q27" s="69"/>
      <c r="R27" t="s">
        <v>1631</v>
      </c>
    </row>
    <row r="28" spans="1:18">
      <c r="A28" t="s">
        <v>443</v>
      </c>
      <c r="C28" s="304">
        <f>+C94/(1-$B$5)</f>
        <v>226.10483042137719</v>
      </c>
      <c r="D28" s="304">
        <f>+D94/(1-$B$5)</f>
        <v>228.16032887975334</v>
      </c>
      <c r="E28" s="304">
        <f t="shared" si="7"/>
        <v>219.93833504624871</v>
      </c>
      <c r="F28" s="304">
        <f t="shared" si="7"/>
        <v>189.10585817060638</v>
      </c>
      <c r="G28" s="304">
        <f t="shared" si="7"/>
        <v>176.77286742034943</v>
      </c>
      <c r="H28" s="304">
        <f>+H94/(1-$B$5)</f>
        <v>176.77286742034943</v>
      </c>
      <c r="I28" s="304">
        <f t="shared" si="7"/>
        <v>181.91161356628982</v>
      </c>
      <c r="J28" s="304">
        <f t="shared" si="7"/>
        <v>177.80061664953752</v>
      </c>
      <c r="K28" s="304">
        <f t="shared" si="7"/>
        <v>179.85611510791367</v>
      </c>
      <c r="L28" s="304">
        <f t="shared" si="7"/>
        <v>214.79958890030832</v>
      </c>
      <c r="M28" s="304">
        <f t="shared" si="7"/>
        <v>216.8550873586845</v>
      </c>
      <c r="N28" s="304">
        <f t="shared" si="7"/>
        <v>216.8550873586845</v>
      </c>
      <c r="O28" s="98">
        <f>SUM(C28:N28)</f>
        <v>2404.9331963001032</v>
      </c>
      <c r="P28" s="98">
        <f>AVERAGE(C28:N28)</f>
        <v>200.41109969167528</v>
      </c>
      <c r="Q28" s="69"/>
      <c r="R28" t="s">
        <v>1632</v>
      </c>
    </row>
    <row r="29" spans="1:18">
      <c r="A29" t="s">
        <v>444</v>
      </c>
      <c r="C29" s="304">
        <f t="shared" ref="C29:N29" si="8">+C95/(1-$B$5)</f>
        <v>0.52106885919835566</v>
      </c>
      <c r="D29" s="304">
        <f t="shared" si="8"/>
        <v>0.46043165467625902</v>
      </c>
      <c r="E29" s="304">
        <f t="shared" si="8"/>
        <v>0.71223021582733814</v>
      </c>
      <c r="F29" s="304">
        <f t="shared" si="8"/>
        <v>3.7553956834532376</v>
      </c>
      <c r="G29" s="304">
        <f t="shared" si="8"/>
        <v>11.571428571428573</v>
      </c>
      <c r="H29" s="304">
        <f t="shared" si="8"/>
        <v>15.436793422404934</v>
      </c>
      <c r="I29" s="304">
        <f t="shared" si="8"/>
        <v>14.980472764645427</v>
      </c>
      <c r="J29" s="304">
        <f t="shared" si="8"/>
        <v>14.440904419321686</v>
      </c>
      <c r="K29" s="304">
        <f t="shared" si="8"/>
        <v>8.4265159301130517</v>
      </c>
      <c r="L29" s="304">
        <f t="shared" si="8"/>
        <v>4.3021582733812949</v>
      </c>
      <c r="M29" s="304">
        <f t="shared" si="8"/>
        <v>0</v>
      </c>
      <c r="N29" s="304">
        <f t="shared" si="8"/>
        <v>0</v>
      </c>
      <c r="O29" s="98">
        <f>SUM(C29:N29)</f>
        <v>74.60739979445016</v>
      </c>
      <c r="P29" s="98">
        <f>AVERAGE(C29:N29)</f>
        <v>6.2172833162041803</v>
      </c>
      <c r="Q29" s="69"/>
      <c r="R29" t="s">
        <v>1633</v>
      </c>
    </row>
    <row r="30" spans="1:18">
      <c r="A30" s="1" t="s">
        <v>445</v>
      </c>
      <c r="C30" s="304">
        <f>SUM(C27:C29)</f>
        <v>226.62589928057554</v>
      </c>
      <c r="D30" s="304">
        <f t="shared" ref="D30:K30" si="9">SUM(D27:D29)</f>
        <v>228.62076053442959</v>
      </c>
      <c r="E30" s="304">
        <f t="shared" si="9"/>
        <v>220.65056526207604</v>
      </c>
      <c r="F30" s="304">
        <f t="shared" si="9"/>
        <v>192.86125385405961</v>
      </c>
      <c r="G30" s="304">
        <f>SUM(G27:G29)</f>
        <v>188.34429599177801</v>
      </c>
      <c r="H30" s="304">
        <f t="shared" si="9"/>
        <v>192.20966084275437</v>
      </c>
      <c r="I30" s="304">
        <f t="shared" si="9"/>
        <v>196.89208633093523</v>
      </c>
      <c r="J30" s="304">
        <f>SUM(J27:J29)</f>
        <v>192.24152106885921</v>
      </c>
      <c r="K30" s="304">
        <f t="shared" si="9"/>
        <v>188.28263103802672</v>
      </c>
      <c r="L30" s="304">
        <f>SUM(L27:L29)</f>
        <v>219.1017471736896</v>
      </c>
      <c r="M30" s="304">
        <f>SUM(M27:M29)</f>
        <v>216.8550873586845</v>
      </c>
      <c r="N30" s="304">
        <f>SUM(N27:N29)</f>
        <v>216.8550873586845</v>
      </c>
      <c r="O30" s="98">
        <f>SUM(C30:N30)</f>
        <v>2479.5405960945527</v>
      </c>
      <c r="P30" s="98">
        <f>AVERAGE(C30:N30)</f>
        <v>206.62838300787939</v>
      </c>
      <c r="Q30" s="69">
        <f>+P30/$P$54</f>
        <v>5.7007914664812025E-2</v>
      </c>
      <c r="R30" t="s">
        <v>719</v>
      </c>
    </row>
    <row r="31" spans="1:18">
      <c r="K31" s="304"/>
      <c r="L31" s="304"/>
      <c r="M31" s="304"/>
      <c r="N31" s="304"/>
      <c r="O31" s="98"/>
      <c r="P31" s="98"/>
      <c r="Q31" s="69"/>
    </row>
    <row r="32" spans="1:18">
      <c r="A32" s="1" t="s">
        <v>446</v>
      </c>
      <c r="B32" t="s">
        <v>447</v>
      </c>
      <c r="K32" s="304"/>
      <c r="L32" s="304"/>
      <c r="M32" s="304"/>
      <c r="N32" s="304"/>
      <c r="O32" s="98"/>
      <c r="P32" s="98"/>
      <c r="Q32" s="69"/>
    </row>
    <row r="33" spans="1:17">
      <c r="A33" s="570" t="s">
        <v>1607</v>
      </c>
      <c r="C33" s="304">
        <f>+C98/(1-$B$5)</f>
        <v>128.46865364850976</v>
      </c>
      <c r="D33" s="304">
        <f t="shared" ref="D33:N33" si="10">+D98/(1-$B$5)</f>
        <v>128.46865364850976</v>
      </c>
      <c r="E33" s="304">
        <f t="shared" si="10"/>
        <v>128.46865364850976</v>
      </c>
      <c r="F33" s="304">
        <f t="shared" si="10"/>
        <v>128.46865364850976</v>
      </c>
      <c r="G33" s="304">
        <f t="shared" si="10"/>
        <v>128.46865364850976</v>
      </c>
      <c r="H33" s="304">
        <f t="shared" si="10"/>
        <v>128.46865364850976</v>
      </c>
      <c r="I33" s="304">
        <f t="shared" si="10"/>
        <v>128.46865364850976</v>
      </c>
      <c r="J33" s="304">
        <f t="shared" si="10"/>
        <v>128.46865364850976</v>
      </c>
      <c r="K33" s="304">
        <f t="shared" si="10"/>
        <v>128.46865364850976</v>
      </c>
      <c r="L33" s="304">
        <f t="shared" si="10"/>
        <v>128.46865364850976</v>
      </c>
      <c r="M33" s="304">
        <f t="shared" si="10"/>
        <v>128.46865364850976</v>
      </c>
      <c r="N33" s="304">
        <f t="shared" si="10"/>
        <v>128.46865364850976</v>
      </c>
      <c r="O33" s="304">
        <f>+SUM(C33:N33)</f>
        <v>1541.6238437821166</v>
      </c>
      <c r="P33" s="304">
        <f>+AVERAGE(C33:N33)</f>
        <v>128.46865364850973</v>
      </c>
      <c r="Q33" s="69"/>
    </row>
    <row r="34" spans="1:17">
      <c r="A34" s="570" t="s">
        <v>1608</v>
      </c>
      <c r="C34" s="304">
        <f t="shared" ref="C34:N48" si="11">+C99/(1-$B$5)</f>
        <v>77.081192189105863</v>
      </c>
      <c r="D34" s="304">
        <f t="shared" si="11"/>
        <v>77.081192189105863</v>
      </c>
      <c r="E34" s="304">
        <f t="shared" si="11"/>
        <v>77.081192189105863</v>
      </c>
      <c r="F34" s="304">
        <f t="shared" si="11"/>
        <v>77.081192189105863</v>
      </c>
      <c r="G34" s="304">
        <f t="shared" si="11"/>
        <v>77.081192189105863</v>
      </c>
      <c r="H34" s="304">
        <f t="shared" si="11"/>
        <v>77.081192189105863</v>
      </c>
      <c r="I34" s="304">
        <f t="shared" si="11"/>
        <v>77.081192189105863</v>
      </c>
      <c r="J34" s="304">
        <f t="shared" si="11"/>
        <v>77.081192189105863</v>
      </c>
      <c r="K34" s="304">
        <f t="shared" si="11"/>
        <v>77.081192189105863</v>
      </c>
      <c r="L34" s="304">
        <f t="shared" si="11"/>
        <v>77.081192189105863</v>
      </c>
      <c r="M34" s="304">
        <f t="shared" si="11"/>
        <v>77.081192189105863</v>
      </c>
      <c r="N34" s="304">
        <f t="shared" si="11"/>
        <v>77.081192189105863</v>
      </c>
      <c r="O34" s="304">
        <f t="shared" ref="O34:O48" si="12">+SUM(C34:N34)</f>
        <v>924.97430626927041</v>
      </c>
      <c r="P34" s="304">
        <f t="shared" ref="P34:P48" si="13">+AVERAGE(C34:N34)</f>
        <v>77.081192189105863</v>
      </c>
      <c r="Q34" s="69"/>
    </row>
    <row r="35" spans="1:17">
      <c r="A35" s="570" t="s">
        <v>1609</v>
      </c>
      <c r="C35" s="304">
        <f t="shared" si="11"/>
        <v>39.054470709146969</v>
      </c>
      <c r="D35" s="304">
        <f t="shared" si="11"/>
        <v>39.054470709146969</v>
      </c>
      <c r="E35" s="304">
        <f t="shared" si="11"/>
        <v>39.054470709146969</v>
      </c>
      <c r="F35" s="304">
        <f t="shared" si="11"/>
        <v>39.054470709146969</v>
      </c>
      <c r="G35" s="304">
        <f t="shared" si="11"/>
        <v>39.054470709146969</v>
      </c>
      <c r="H35" s="304">
        <f t="shared" si="11"/>
        <v>39.054470709146969</v>
      </c>
      <c r="I35" s="304">
        <f t="shared" si="11"/>
        <v>39.054470709146969</v>
      </c>
      <c r="J35" s="304">
        <f t="shared" si="11"/>
        <v>39.054470709146969</v>
      </c>
      <c r="K35" s="304">
        <f t="shared" si="11"/>
        <v>39.054470709146969</v>
      </c>
      <c r="L35" s="304">
        <f t="shared" si="11"/>
        <v>39.054470709146969</v>
      </c>
      <c r="M35" s="304">
        <f t="shared" si="11"/>
        <v>39.054470709146969</v>
      </c>
      <c r="N35" s="304">
        <f t="shared" si="11"/>
        <v>39.054470709146969</v>
      </c>
      <c r="O35" s="304">
        <f t="shared" si="12"/>
        <v>468.65364850976374</v>
      </c>
      <c r="P35" s="304">
        <f t="shared" si="13"/>
        <v>39.054470709146976</v>
      </c>
      <c r="Q35" s="69"/>
    </row>
    <row r="36" spans="1:17">
      <c r="A36" s="570" t="s">
        <v>1610</v>
      </c>
      <c r="C36" s="304">
        <f t="shared" si="11"/>
        <v>174.71736896197328</v>
      </c>
      <c r="D36" s="304">
        <f t="shared" si="11"/>
        <v>174.71736896197328</v>
      </c>
      <c r="E36" s="304">
        <f t="shared" si="11"/>
        <v>174.71736896197328</v>
      </c>
      <c r="F36" s="304">
        <f t="shared" si="11"/>
        <v>174.71736896197328</v>
      </c>
      <c r="G36" s="304">
        <f t="shared" si="11"/>
        <v>174.71736896197328</v>
      </c>
      <c r="H36" s="304">
        <f t="shared" si="11"/>
        <v>174.71736896197328</v>
      </c>
      <c r="I36" s="304">
        <f t="shared" si="11"/>
        <v>174.71736896197328</v>
      </c>
      <c r="J36" s="304">
        <f t="shared" si="11"/>
        <v>174.71736896197328</v>
      </c>
      <c r="K36" s="304">
        <f t="shared" si="11"/>
        <v>174.71736896197328</v>
      </c>
      <c r="L36" s="304">
        <f t="shared" si="11"/>
        <v>174.71736896197328</v>
      </c>
      <c r="M36" s="304">
        <f t="shared" si="11"/>
        <v>174.71736896197328</v>
      </c>
      <c r="N36" s="304">
        <f t="shared" si="11"/>
        <v>174.71736896197328</v>
      </c>
      <c r="O36" s="304">
        <f t="shared" si="12"/>
        <v>2096.6084275436792</v>
      </c>
      <c r="P36" s="304">
        <f t="shared" si="13"/>
        <v>174.71736896197328</v>
      </c>
      <c r="Q36" s="69"/>
    </row>
    <row r="37" spans="1:17">
      <c r="A37" s="570" t="s">
        <v>1611</v>
      </c>
      <c r="C37" s="304">
        <f t="shared" si="11"/>
        <v>5.1387461459403907</v>
      </c>
      <c r="D37" s="304">
        <f t="shared" si="11"/>
        <v>5.1387461459403907</v>
      </c>
      <c r="E37" s="304">
        <f t="shared" si="11"/>
        <v>5.1387461459403907</v>
      </c>
      <c r="F37" s="304">
        <f t="shared" si="11"/>
        <v>5.1387461459403907</v>
      </c>
      <c r="G37" s="304">
        <f t="shared" si="11"/>
        <v>5.1387461459403907</v>
      </c>
      <c r="H37" s="304">
        <f t="shared" si="11"/>
        <v>5.1387461459403907</v>
      </c>
      <c r="I37" s="304">
        <f t="shared" si="11"/>
        <v>5.1387461459403907</v>
      </c>
      <c r="J37" s="304">
        <f t="shared" si="11"/>
        <v>5.1387461459403907</v>
      </c>
      <c r="K37" s="304">
        <f t="shared" si="11"/>
        <v>5.1387461459403907</v>
      </c>
      <c r="L37" s="304">
        <f t="shared" si="11"/>
        <v>5.1387461459403907</v>
      </c>
      <c r="M37" s="304">
        <f t="shared" si="11"/>
        <v>5.1387461459403907</v>
      </c>
      <c r="N37" s="304">
        <f t="shared" si="11"/>
        <v>5.1387461459403907</v>
      </c>
      <c r="O37" s="304">
        <f t="shared" si="12"/>
        <v>61.664953751284678</v>
      </c>
      <c r="P37" s="304">
        <f t="shared" si="13"/>
        <v>5.1387461459403898</v>
      </c>
      <c r="Q37" s="209"/>
    </row>
    <row r="38" spans="1:17">
      <c r="A38" s="570" t="s">
        <v>1612</v>
      </c>
      <c r="C38" s="304">
        <f t="shared" si="11"/>
        <v>57.553956834532379</v>
      </c>
      <c r="D38" s="304">
        <f t="shared" si="11"/>
        <v>57.553956834532379</v>
      </c>
      <c r="E38" s="304">
        <f t="shared" si="11"/>
        <v>57.553956834532379</v>
      </c>
      <c r="F38" s="304">
        <f t="shared" si="11"/>
        <v>57.553956834532379</v>
      </c>
      <c r="G38" s="304">
        <f t="shared" si="11"/>
        <v>57.553956834532379</v>
      </c>
      <c r="H38" s="304">
        <f t="shared" si="11"/>
        <v>57.553956834532379</v>
      </c>
      <c r="I38" s="304">
        <f t="shared" si="11"/>
        <v>57.553956834532379</v>
      </c>
      <c r="J38" s="304">
        <f t="shared" si="11"/>
        <v>57.553956834532379</v>
      </c>
      <c r="K38" s="304">
        <f t="shared" si="11"/>
        <v>57.553956834532379</v>
      </c>
      <c r="L38" s="304">
        <f t="shared" si="11"/>
        <v>57.553956834532379</v>
      </c>
      <c r="M38" s="304">
        <f t="shared" si="11"/>
        <v>57.553956834532379</v>
      </c>
      <c r="N38" s="304">
        <f t="shared" si="11"/>
        <v>57.553956834532379</v>
      </c>
      <c r="O38" s="304">
        <f t="shared" si="12"/>
        <v>690.64748201438863</v>
      </c>
      <c r="P38" s="304">
        <f t="shared" si="13"/>
        <v>57.553956834532386</v>
      </c>
      <c r="Q38" s="69"/>
    </row>
    <row r="39" spans="1:17">
      <c r="A39" s="570" t="s">
        <v>1613</v>
      </c>
      <c r="C39" s="304">
        <f t="shared" si="11"/>
        <v>43.165467625899282</v>
      </c>
      <c r="D39" s="304">
        <f t="shared" si="11"/>
        <v>43.165467625899282</v>
      </c>
      <c r="E39" s="304">
        <f t="shared" si="11"/>
        <v>43.165467625899282</v>
      </c>
      <c r="F39" s="304">
        <f t="shared" si="11"/>
        <v>43.165467625899282</v>
      </c>
      <c r="G39" s="304">
        <f t="shared" si="11"/>
        <v>43.165467625899282</v>
      </c>
      <c r="H39" s="304">
        <f t="shared" si="11"/>
        <v>43.165467625899282</v>
      </c>
      <c r="I39" s="304">
        <f t="shared" si="11"/>
        <v>43.165467625899282</v>
      </c>
      <c r="J39" s="304">
        <f t="shared" si="11"/>
        <v>43.165467625899282</v>
      </c>
      <c r="K39" s="304">
        <f t="shared" si="11"/>
        <v>43.165467625899282</v>
      </c>
      <c r="L39" s="304">
        <f t="shared" si="11"/>
        <v>43.165467625899282</v>
      </c>
      <c r="M39" s="304">
        <f t="shared" si="11"/>
        <v>43.165467625899282</v>
      </c>
      <c r="N39" s="304">
        <f t="shared" si="11"/>
        <v>43.165467625899282</v>
      </c>
      <c r="O39" s="304">
        <f t="shared" si="12"/>
        <v>517.98561151079139</v>
      </c>
      <c r="P39" s="304">
        <f t="shared" si="13"/>
        <v>43.165467625899282</v>
      </c>
      <c r="Q39" s="69"/>
    </row>
    <row r="40" spans="1:17">
      <c r="A40" s="570" t="s">
        <v>1614</v>
      </c>
      <c r="C40" s="304">
        <f t="shared" si="11"/>
        <v>128.46865364850976</v>
      </c>
      <c r="D40" s="304">
        <f t="shared" si="11"/>
        <v>128.46865364850976</v>
      </c>
      <c r="E40" s="304">
        <f t="shared" si="11"/>
        <v>128.46865364850976</v>
      </c>
      <c r="F40" s="304">
        <f t="shared" si="11"/>
        <v>128.46865364850976</v>
      </c>
      <c r="G40" s="304">
        <f t="shared" si="11"/>
        <v>128.46865364850976</v>
      </c>
      <c r="H40" s="304">
        <f t="shared" si="11"/>
        <v>128.46865364850976</v>
      </c>
      <c r="I40" s="304">
        <f t="shared" si="11"/>
        <v>128.46865364850976</v>
      </c>
      <c r="J40" s="304">
        <f t="shared" si="11"/>
        <v>128.46865364850976</v>
      </c>
      <c r="K40" s="304">
        <f t="shared" si="11"/>
        <v>128.46865364850976</v>
      </c>
      <c r="L40" s="304">
        <f t="shared" si="11"/>
        <v>128.46865364850976</v>
      </c>
      <c r="M40" s="304">
        <f t="shared" si="11"/>
        <v>128.46865364850976</v>
      </c>
      <c r="N40" s="304">
        <f t="shared" si="11"/>
        <v>128.46865364850976</v>
      </c>
      <c r="O40" s="304">
        <f t="shared" si="12"/>
        <v>1541.6238437821166</v>
      </c>
      <c r="P40" s="304">
        <f t="shared" si="13"/>
        <v>128.46865364850973</v>
      </c>
      <c r="Q40" s="69"/>
    </row>
    <row r="41" spans="1:17">
      <c r="A41" s="570" t="s">
        <v>1615</v>
      </c>
      <c r="C41" s="304">
        <f t="shared" si="11"/>
        <v>133.60739979445015</v>
      </c>
      <c r="D41" s="304">
        <f t="shared" si="11"/>
        <v>133.60739979445015</v>
      </c>
      <c r="E41" s="304">
        <f t="shared" si="11"/>
        <v>133.60739979445015</v>
      </c>
      <c r="F41" s="304">
        <f t="shared" si="11"/>
        <v>133.60739979445015</v>
      </c>
      <c r="G41" s="304">
        <f t="shared" si="11"/>
        <v>133.60739979445015</v>
      </c>
      <c r="H41" s="304">
        <f t="shared" si="11"/>
        <v>133.60739979445015</v>
      </c>
      <c r="I41" s="304">
        <f t="shared" si="11"/>
        <v>133.60739979445015</v>
      </c>
      <c r="J41" s="304">
        <f t="shared" si="11"/>
        <v>133.60739979445015</v>
      </c>
      <c r="K41" s="304">
        <f t="shared" si="11"/>
        <v>133.60739979445015</v>
      </c>
      <c r="L41" s="304">
        <f t="shared" si="11"/>
        <v>133.60739979445015</v>
      </c>
      <c r="M41" s="304">
        <f t="shared" si="11"/>
        <v>133.60739979445015</v>
      </c>
      <c r="N41" s="304">
        <f t="shared" si="11"/>
        <v>133.60739979445015</v>
      </c>
      <c r="O41" s="304">
        <f t="shared" si="12"/>
        <v>1603.2887975334022</v>
      </c>
      <c r="P41" s="304">
        <f t="shared" si="13"/>
        <v>133.60739979445017</v>
      </c>
      <c r="Q41" s="69"/>
    </row>
    <row r="42" spans="1:17">
      <c r="A42" s="570" t="s">
        <v>1616</v>
      </c>
      <c r="C42" s="304">
        <f t="shared" si="11"/>
        <v>41.109969167523126</v>
      </c>
      <c r="D42" s="304">
        <f t="shared" si="11"/>
        <v>41.109969167523126</v>
      </c>
      <c r="E42" s="304">
        <f t="shared" si="11"/>
        <v>41.109969167523126</v>
      </c>
      <c r="F42" s="304">
        <f t="shared" si="11"/>
        <v>41.109969167523126</v>
      </c>
      <c r="G42" s="304">
        <f t="shared" si="11"/>
        <v>41.109969167523126</v>
      </c>
      <c r="H42" s="304">
        <f t="shared" si="11"/>
        <v>41.109969167523126</v>
      </c>
      <c r="I42" s="304">
        <f t="shared" si="11"/>
        <v>41.109969167523126</v>
      </c>
      <c r="J42" s="304">
        <f t="shared" si="11"/>
        <v>41.109969167523126</v>
      </c>
      <c r="K42" s="304">
        <f t="shared" si="11"/>
        <v>41.109969167523126</v>
      </c>
      <c r="L42" s="304">
        <f t="shared" si="11"/>
        <v>41.109969167523126</v>
      </c>
      <c r="M42" s="304">
        <f t="shared" si="11"/>
        <v>41.109969167523126</v>
      </c>
      <c r="N42" s="304">
        <f t="shared" si="11"/>
        <v>41.109969167523126</v>
      </c>
      <c r="O42" s="304">
        <f t="shared" si="12"/>
        <v>493.31963001027742</v>
      </c>
      <c r="P42" s="304">
        <f t="shared" si="13"/>
        <v>41.109969167523118</v>
      </c>
      <c r="Q42" s="69"/>
    </row>
    <row r="43" spans="1:17">
      <c r="A43" s="570" t="s">
        <v>1617</v>
      </c>
      <c r="C43" s="304">
        <f t="shared" si="11"/>
        <v>51.387461459403909</v>
      </c>
      <c r="D43" s="304">
        <f t="shared" si="11"/>
        <v>51.387461459403909</v>
      </c>
      <c r="E43" s="304">
        <f t="shared" si="11"/>
        <v>51.387461459403909</v>
      </c>
      <c r="F43" s="304">
        <f t="shared" si="11"/>
        <v>51.387461459403909</v>
      </c>
      <c r="G43" s="304">
        <f t="shared" si="11"/>
        <v>51.387461459403909</v>
      </c>
      <c r="H43" s="304">
        <f t="shared" si="11"/>
        <v>51.387461459403909</v>
      </c>
      <c r="I43" s="304">
        <f t="shared" si="11"/>
        <v>51.387461459403909</v>
      </c>
      <c r="J43" s="304">
        <f t="shared" si="11"/>
        <v>51.387461459403909</v>
      </c>
      <c r="K43" s="304">
        <f t="shared" si="11"/>
        <v>51.387461459403909</v>
      </c>
      <c r="L43" s="304">
        <f t="shared" si="11"/>
        <v>51.387461459403909</v>
      </c>
      <c r="M43" s="304">
        <f t="shared" si="11"/>
        <v>51.387461459403909</v>
      </c>
      <c r="N43" s="304">
        <f t="shared" si="11"/>
        <v>51.387461459403909</v>
      </c>
      <c r="O43" s="304">
        <f t="shared" si="12"/>
        <v>616.64953751284668</v>
      </c>
      <c r="P43" s="304">
        <f t="shared" si="13"/>
        <v>51.387461459403887</v>
      </c>
      <c r="Q43" s="69"/>
    </row>
    <row r="44" spans="1:17">
      <c r="A44" s="570" t="s">
        <v>1618</v>
      </c>
      <c r="C44" s="304">
        <f t="shared" si="11"/>
        <v>25.693730729701954</v>
      </c>
      <c r="D44" s="304">
        <f t="shared" si="11"/>
        <v>25.693730729701954</v>
      </c>
      <c r="E44" s="304">
        <f t="shared" si="11"/>
        <v>25.693730729701954</v>
      </c>
      <c r="F44" s="304">
        <f t="shared" si="11"/>
        <v>25.693730729701954</v>
      </c>
      <c r="G44" s="304">
        <f t="shared" si="11"/>
        <v>25.693730729701954</v>
      </c>
      <c r="H44" s="304">
        <f t="shared" si="11"/>
        <v>25.693730729701954</v>
      </c>
      <c r="I44" s="304">
        <f t="shared" si="11"/>
        <v>25.693730729701954</v>
      </c>
      <c r="J44" s="304">
        <f t="shared" si="11"/>
        <v>25.693730729701954</v>
      </c>
      <c r="K44" s="304">
        <f t="shared" si="11"/>
        <v>25.693730729701954</v>
      </c>
      <c r="L44" s="304">
        <f t="shared" si="11"/>
        <v>25.693730729701954</v>
      </c>
      <c r="M44" s="304">
        <f t="shared" si="11"/>
        <v>25.693730729701954</v>
      </c>
      <c r="N44" s="304">
        <f t="shared" si="11"/>
        <v>25.693730729701954</v>
      </c>
      <c r="O44" s="304">
        <f t="shared" si="12"/>
        <v>308.32476875642334</v>
      </c>
      <c r="P44" s="304">
        <f t="shared" si="13"/>
        <v>25.693730729701944</v>
      </c>
      <c r="Q44" s="69"/>
    </row>
    <row r="45" spans="1:17">
      <c r="A45" s="570" t="s">
        <v>1619</v>
      </c>
      <c r="C45" s="304">
        <f t="shared" si="11"/>
        <v>15.416238437821171</v>
      </c>
      <c r="D45" s="304">
        <f t="shared" si="11"/>
        <v>15.416238437821171</v>
      </c>
      <c r="E45" s="304">
        <f t="shared" si="11"/>
        <v>15.416238437821171</v>
      </c>
      <c r="F45" s="304">
        <f t="shared" si="11"/>
        <v>15.416238437821171</v>
      </c>
      <c r="G45" s="304">
        <f t="shared" si="11"/>
        <v>15.416238437821171</v>
      </c>
      <c r="H45" s="304">
        <f t="shared" si="11"/>
        <v>15.416238437821171</v>
      </c>
      <c r="I45" s="304">
        <f t="shared" si="11"/>
        <v>15.416238437821171</v>
      </c>
      <c r="J45" s="304">
        <f t="shared" si="11"/>
        <v>15.416238437821171</v>
      </c>
      <c r="K45" s="304">
        <f t="shared" si="11"/>
        <v>15.416238437821171</v>
      </c>
      <c r="L45" s="304">
        <f t="shared" si="11"/>
        <v>15.416238437821171</v>
      </c>
      <c r="M45" s="304">
        <f t="shared" si="11"/>
        <v>15.416238437821171</v>
      </c>
      <c r="N45" s="304">
        <f t="shared" si="11"/>
        <v>15.416238437821171</v>
      </c>
      <c r="O45" s="304">
        <f t="shared" si="12"/>
        <v>184.994861253854</v>
      </c>
      <c r="P45" s="304">
        <f t="shared" si="13"/>
        <v>15.416238437821166</v>
      </c>
      <c r="Q45" s="69"/>
    </row>
    <row r="46" spans="1:17">
      <c r="A46" s="570" t="s">
        <v>1670</v>
      </c>
      <c r="C46" s="304">
        <f t="shared" si="11"/>
        <v>149.02363823227134</v>
      </c>
      <c r="D46" s="304">
        <f t="shared" si="11"/>
        <v>149.02363823227134</v>
      </c>
      <c r="E46" s="304">
        <f t="shared" si="11"/>
        <v>149.02363823227134</v>
      </c>
      <c r="F46" s="304">
        <f t="shared" si="11"/>
        <v>149.02363823227134</v>
      </c>
      <c r="G46" s="304">
        <f t="shared" si="11"/>
        <v>149.02363823227134</v>
      </c>
      <c r="H46" s="304">
        <f t="shared" si="11"/>
        <v>149.02363823227134</v>
      </c>
      <c r="I46" s="304">
        <f t="shared" si="11"/>
        <v>149.02363823227134</v>
      </c>
      <c r="J46" s="304">
        <f t="shared" si="11"/>
        <v>149.02363823227134</v>
      </c>
      <c r="K46" s="304">
        <f t="shared" si="11"/>
        <v>149.02363823227134</v>
      </c>
      <c r="L46" s="304">
        <f t="shared" si="11"/>
        <v>149.02363823227134</v>
      </c>
      <c r="M46" s="304">
        <f t="shared" si="11"/>
        <v>149.02363823227134</v>
      </c>
      <c r="N46" s="304">
        <f t="shared" si="11"/>
        <v>149.02363823227134</v>
      </c>
      <c r="O46" s="304">
        <f>+SUM(C46:N46)</f>
        <v>1788.2836587872564</v>
      </c>
      <c r="P46" s="304">
        <f>+AVERAGE(C46:N46)</f>
        <v>149.02363823227137</v>
      </c>
      <c r="Q46" s="69"/>
    </row>
    <row r="47" spans="1:17">
      <c r="A47" s="570" t="s">
        <v>1620</v>
      </c>
      <c r="C47" s="304">
        <f t="shared" si="11"/>
        <v>106.88591983556013</v>
      </c>
      <c r="D47" s="304">
        <f t="shared" si="11"/>
        <v>106.88591983556013</v>
      </c>
      <c r="E47" s="304">
        <f t="shared" si="11"/>
        <v>106.88591983556013</v>
      </c>
      <c r="F47" s="304">
        <f t="shared" si="11"/>
        <v>106.88591983556013</v>
      </c>
      <c r="G47" s="304">
        <f t="shared" si="11"/>
        <v>106.88591983556013</v>
      </c>
      <c r="H47" s="304">
        <f t="shared" si="11"/>
        <v>106.88591983556013</v>
      </c>
      <c r="I47" s="304">
        <f t="shared" si="11"/>
        <v>106.88591983556013</v>
      </c>
      <c r="J47" s="304">
        <f t="shared" si="11"/>
        <v>106.88591983556013</v>
      </c>
      <c r="K47" s="304">
        <f t="shared" si="11"/>
        <v>106.88591983556013</v>
      </c>
      <c r="L47" s="304">
        <f t="shared" si="11"/>
        <v>106.88591983556013</v>
      </c>
      <c r="M47" s="304">
        <f t="shared" si="11"/>
        <v>106.88591983556013</v>
      </c>
      <c r="N47" s="304">
        <f t="shared" si="11"/>
        <v>106.88591983556013</v>
      </c>
      <c r="O47" s="304">
        <f t="shared" si="12"/>
        <v>1282.6310380267216</v>
      </c>
      <c r="P47" s="304">
        <f t="shared" si="13"/>
        <v>106.88591983556013</v>
      </c>
      <c r="Q47" s="69"/>
    </row>
    <row r="48" spans="1:17">
      <c r="A48" s="570" t="s">
        <v>1621</v>
      </c>
      <c r="C48" s="304">
        <f t="shared" si="11"/>
        <v>0</v>
      </c>
      <c r="D48" s="304">
        <f t="shared" si="11"/>
        <v>0</v>
      </c>
      <c r="E48" s="304">
        <f t="shared" si="11"/>
        <v>0</v>
      </c>
      <c r="F48" s="304">
        <f t="shared" si="11"/>
        <v>0</v>
      </c>
      <c r="G48" s="304">
        <f t="shared" si="11"/>
        <v>0</v>
      </c>
      <c r="H48" s="304">
        <f t="shared" si="11"/>
        <v>0</v>
      </c>
      <c r="I48" s="304">
        <f t="shared" si="11"/>
        <v>0</v>
      </c>
      <c r="J48" s="304">
        <f t="shared" si="11"/>
        <v>0</v>
      </c>
      <c r="K48" s="304">
        <f t="shared" si="11"/>
        <v>0</v>
      </c>
      <c r="L48" s="304">
        <f t="shared" si="11"/>
        <v>0</v>
      </c>
      <c r="M48" s="304">
        <f t="shared" si="11"/>
        <v>0</v>
      </c>
      <c r="N48" s="304">
        <f t="shared" si="11"/>
        <v>0</v>
      </c>
      <c r="O48" s="304">
        <f t="shared" si="12"/>
        <v>0</v>
      </c>
      <c r="P48" s="304">
        <f t="shared" si="13"/>
        <v>0</v>
      </c>
      <c r="Q48" s="69"/>
    </row>
    <row r="49" spans="1:18">
      <c r="A49" s="570" t="s">
        <v>1765</v>
      </c>
      <c r="C49" s="304">
        <f>+C114/(1-$B$5)</f>
        <v>26.721479958890033</v>
      </c>
      <c r="D49" s="304">
        <f t="shared" ref="D49:N50" si="14">+D114/(1-$B$5)</f>
        <v>26.721479958890033</v>
      </c>
      <c r="E49" s="304">
        <f t="shared" si="14"/>
        <v>26.721479958890033</v>
      </c>
      <c r="F49" s="304">
        <f t="shared" si="14"/>
        <v>26.721479958890033</v>
      </c>
      <c r="G49" s="304">
        <f t="shared" si="14"/>
        <v>26.721479958890033</v>
      </c>
      <c r="H49" s="304">
        <f t="shared" si="14"/>
        <v>26.721479958890033</v>
      </c>
      <c r="I49" s="304">
        <f t="shared" si="14"/>
        <v>26.721479958890033</v>
      </c>
      <c r="J49" s="304">
        <f t="shared" si="14"/>
        <v>26.721479958890033</v>
      </c>
      <c r="K49" s="304">
        <f t="shared" si="14"/>
        <v>26.721479958890033</v>
      </c>
      <c r="L49" s="304">
        <f t="shared" si="14"/>
        <v>26.721479958890033</v>
      </c>
      <c r="M49" s="304">
        <f t="shared" si="14"/>
        <v>26.721479958890033</v>
      </c>
      <c r="N49" s="304">
        <f t="shared" si="14"/>
        <v>26.721479958890033</v>
      </c>
      <c r="O49" s="304">
        <f>+SUM(C49:N49)</f>
        <v>320.65775950668041</v>
      </c>
      <c r="P49" s="304">
        <f>+AVERAGE(C49:N49)</f>
        <v>26.721479958890033</v>
      </c>
      <c r="Q49" s="69"/>
    </row>
    <row r="50" spans="1:18">
      <c r="A50" s="570" t="s">
        <v>1766</v>
      </c>
      <c r="C50" s="304">
        <f>+C115/(1-$B$5)</f>
        <v>189.10585817060638</v>
      </c>
      <c r="D50" s="304">
        <f t="shared" si="14"/>
        <v>189.10585817060638</v>
      </c>
      <c r="E50" s="304">
        <f t="shared" si="14"/>
        <v>189.10585817060638</v>
      </c>
      <c r="F50" s="304">
        <f t="shared" si="14"/>
        <v>189.10585817060638</v>
      </c>
      <c r="G50" s="304">
        <f t="shared" si="14"/>
        <v>189.10585817060638</v>
      </c>
      <c r="H50" s="304">
        <f t="shared" si="14"/>
        <v>189.10585817060638</v>
      </c>
      <c r="I50" s="304">
        <f t="shared" si="14"/>
        <v>189.10585817060638</v>
      </c>
      <c r="J50" s="304">
        <f t="shared" si="14"/>
        <v>189.10585817060638</v>
      </c>
      <c r="K50" s="304">
        <f t="shared" si="14"/>
        <v>189.10585817060638</v>
      </c>
      <c r="L50" s="304">
        <f t="shared" si="14"/>
        <v>189.10585817060638</v>
      </c>
      <c r="M50" s="304">
        <f t="shared" si="14"/>
        <v>189.10585817060638</v>
      </c>
      <c r="N50" s="304">
        <f t="shared" si="14"/>
        <v>189.10585817060638</v>
      </c>
      <c r="O50" s="304">
        <f>+SUM(C50:N50)</f>
        <v>2269.2702980472764</v>
      </c>
      <c r="P50" s="304">
        <f>+AVERAGE(C50:N50)</f>
        <v>189.10585817060635</v>
      </c>
      <c r="Q50" s="69"/>
    </row>
    <row r="51" spans="1:18">
      <c r="C51" s="304"/>
      <c r="D51" s="304"/>
      <c r="E51" s="304"/>
      <c r="F51" s="304"/>
      <c r="G51" s="304"/>
      <c r="H51" s="304"/>
      <c r="I51" s="304"/>
      <c r="J51" s="304"/>
      <c r="K51" s="304"/>
      <c r="L51" s="304"/>
      <c r="M51" s="304"/>
      <c r="N51" s="304"/>
      <c r="O51" s="98"/>
      <c r="P51" s="98"/>
      <c r="Q51" s="69"/>
    </row>
    <row r="52" spans="1:18">
      <c r="A52" s="1" t="s">
        <v>451</v>
      </c>
      <c r="C52" s="304">
        <f>SUM(C33:C50)</f>
        <v>1392.6002055498459</v>
      </c>
      <c r="D52" s="304">
        <f t="shared" ref="D52:O52" si="15">SUM(D33:D50)</f>
        <v>1392.6002055498459</v>
      </c>
      <c r="E52" s="304">
        <f t="shared" si="15"/>
        <v>1392.6002055498459</v>
      </c>
      <c r="F52" s="304">
        <f t="shared" si="15"/>
        <v>1392.6002055498459</v>
      </c>
      <c r="G52" s="304">
        <f t="shared" si="15"/>
        <v>1392.6002055498459</v>
      </c>
      <c r="H52" s="304">
        <f t="shared" si="15"/>
        <v>1392.6002055498459</v>
      </c>
      <c r="I52" s="304">
        <f t="shared" si="15"/>
        <v>1392.6002055498459</v>
      </c>
      <c r="J52" s="304">
        <f t="shared" si="15"/>
        <v>1392.6002055498459</v>
      </c>
      <c r="K52" s="304">
        <f t="shared" si="15"/>
        <v>1392.6002055498459</v>
      </c>
      <c r="L52" s="304">
        <f t="shared" si="15"/>
        <v>1392.6002055498459</v>
      </c>
      <c r="M52" s="304">
        <f t="shared" si="15"/>
        <v>1392.6002055498459</v>
      </c>
      <c r="N52" s="304">
        <f t="shared" si="15"/>
        <v>1392.6002055498459</v>
      </c>
      <c r="O52" s="304">
        <f t="shared" si="15"/>
        <v>16711.202466598152</v>
      </c>
      <c r="P52" s="98">
        <f>AVERAGE(C52:N52)</f>
        <v>1392.6002055498464</v>
      </c>
      <c r="Q52" s="69">
        <f>+P52/$P$54</f>
        <v>0.38421262618678076</v>
      </c>
      <c r="R52" t="s">
        <v>720</v>
      </c>
    </row>
    <row r="53" spans="1:18">
      <c r="K53" s="304"/>
      <c r="L53" s="304"/>
      <c r="M53" s="304"/>
      <c r="N53" s="304"/>
      <c r="O53" s="98"/>
      <c r="P53" s="98"/>
      <c r="Q53" s="69"/>
    </row>
    <row r="54" spans="1:18">
      <c r="A54" s="1" t="s">
        <v>452</v>
      </c>
      <c r="C54" s="304">
        <f t="shared" ref="C54:N54" si="16">+C11+C24+C30+C52</f>
        <v>3267.8163031860227</v>
      </c>
      <c r="D54" s="304">
        <f t="shared" si="16"/>
        <v>3444.9405868448102</v>
      </c>
      <c r="E54" s="304">
        <f t="shared" si="16"/>
        <v>3307.7150883864338</v>
      </c>
      <c r="F54" s="304">
        <f t="shared" si="16"/>
        <v>3301.2787759506682</v>
      </c>
      <c r="G54" s="304">
        <f t="shared" si="16"/>
        <v>3597.086670092498</v>
      </c>
      <c r="H54" s="304">
        <f t="shared" si="16"/>
        <v>4057.5371808838645</v>
      </c>
      <c r="I54" s="304">
        <f t="shared" si="16"/>
        <v>4108.0364049331965</v>
      </c>
      <c r="J54" s="304">
        <f t="shared" si="16"/>
        <v>4216.5144748201437</v>
      </c>
      <c r="K54" s="304">
        <f t="shared" si="16"/>
        <v>3789.5112713257968</v>
      </c>
      <c r="L54" s="304">
        <f t="shared" si="16"/>
        <v>3528.181358684481</v>
      </c>
      <c r="M54" s="304">
        <f t="shared" si="16"/>
        <v>3430.3076711202466</v>
      </c>
      <c r="N54" s="304">
        <f t="shared" si="16"/>
        <v>3445.7470267214803</v>
      </c>
      <c r="O54" s="98">
        <f>SUM(C54:N54)</f>
        <v>43494.672812949641</v>
      </c>
      <c r="P54" s="98">
        <f>AVERAGE(C54:N54)</f>
        <v>3624.5560677458034</v>
      </c>
      <c r="Q54" s="69">
        <f>+Q11+Q24+Q30+Q52</f>
        <v>1</v>
      </c>
    </row>
    <row r="55" spans="1:18">
      <c r="K55" s="304"/>
      <c r="L55" s="304"/>
      <c r="M55" s="304"/>
      <c r="N55" s="304"/>
      <c r="O55" s="98"/>
      <c r="P55" s="98"/>
      <c r="Q55" s="43"/>
    </row>
    <row r="56" spans="1:18">
      <c r="A56" s="1" t="s">
        <v>453</v>
      </c>
      <c r="O56" s="98"/>
      <c r="P56" s="98"/>
    </row>
    <row r="57" spans="1:18">
      <c r="A57" t="s">
        <v>1622</v>
      </c>
      <c r="C57" s="282">
        <v>100</v>
      </c>
      <c r="D57" s="282">
        <v>100</v>
      </c>
      <c r="E57" s="282">
        <v>100</v>
      </c>
      <c r="F57" s="282">
        <v>100</v>
      </c>
      <c r="G57" s="282">
        <v>100</v>
      </c>
      <c r="H57" s="282">
        <v>100</v>
      </c>
      <c r="I57" s="282">
        <v>100</v>
      </c>
      <c r="J57" s="282">
        <v>100</v>
      </c>
      <c r="K57" s="282">
        <v>100</v>
      </c>
      <c r="L57" s="282">
        <v>100</v>
      </c>
      <c r="M57" s="282">
        <v>100</v>
      </c>
      <c r="N57" s="282">
        <v>100</v>
      </c>
      <c r="O57" s="199">
        <f>SUM(C57:N57)</f>
        <v>1200</v>
      </c>
      <c r="P57" s="98">
        <f>AVERAGE(C57:N57)</f>
        <v>100</v>
      </c>
    </row>
    <row r="58" spans="1:18">
      <c r="A58" t="s">
        <v>1623</v>
      </c>
      <c r="C58" s="282">
        <v>200</v>
      </c>
      <c r="D58" s="282">
        <v>200</v>
      </c>
      <c r="E58" s="282">
        <v>200</v>
      </c>
      <c r="F58" s="282">
        <v>200</v>
      </c>
      <c r="G58" s="282">
        <v>200</v>
      </c>
      <c r="H58" s="282">
        <v>200</v>
      </c>
      <c r="I58" s="282">
        <v>200</v>
      </c>
      <c r="J58" s="282">
        <v>200</v>
      </c>
      <c r="K58" s="282">
        <v>200</v>
      </c>
      <c r="L58" s="282">
        <v>200</v>
      </c>
      <c r="M58" s="282">
        <v>200</v>
      </c>
      <c r="N58" s="282">
        <v>200</v>
      </c>
      <c r="O58" s="199">
        <f t="shared" ref="O58:O65" si="17">SUM(C58:N58)</f>
        <v>2400</v>
      </c>
      <c r="P58" s="199">
        <f t="shared" ref="P58:P66" si="18">AVERAGE(C58:N58)</f>
        <v>200</v>
      </c>
    </row>
    <row r="59" spans="1:18">
      <c r="A59" t="s">
        <v>1623</v>
      </c>
      <c r="C59" s="282">
        <v>131</v>
      </c>
      <c r="D59" s="282">
        <v>131</v>
      </c>
      <c r="E59" s="282">
        <v>131</v>
      </c>
      <c r="F59" s="282">
        <v>131</v>
      </c>
      <c r="G59" s="282">
        <v>131</v>
      </c>
      <c r="H59" s="282">
        <v>131</v>
      </c>
      <c r="I59" s="282">
        <v>131</v>
      </c>
      <c r="J59" s="282">
        <v>131</v>
      </c>
      <c r="K59" s="282">
        <v>131</v>
      </c>
      <c r="L59" s="282">
        <v>131</v>
      </c>
      <c r="M59" s="282">
        <v>131</v>
      </c>
      <c r="N59" s="282">
        <v>131</v>
      </c>
      <c r="O59" s="199">
        <f t="shared" si="17"/>
        <v>1572</v>
      </c>
      <c r="P59" s="199">
        <f t="shared" si="18"/>
        <v>131</v>
      </c>
    </row>
    <row r="60" spans="1:18">
      <c r="A60" t="s">
        <v>1624</v>
      </c>
      <c r="C60" s="282">
        <v>69</v>
      </c>
      <c r="D60" s="282">
        <v>69</v>
      </c>
      <c r="E60" s="282">
        <v>69</v>
      </c>
      <c r="F60" s="282">
        <v>69</v>
      </c>
      <c r="G60" s="282">
        <v>69</v>
      </c>
      <c r="H60" s="282">
        <v>69</v>
      </c>
      <c r="I60" s="282">
        <v>69</v>
      </c>
      <c r="J60" s="282">
        <v>69</v>
      </c>
      <c r="K60" s="282">
        <v>69</v>
      </c>
      <c r="L60" s="282">
        <v>69</v>
      </c>
      <c r="M60" s="282">
        <v>69</v>
      </c>
      <c r="N60" s="282">
        <v>69</v>
      </c>
      <c r="O60" s="199">
        <f t="shared" si="17"/>
        <v>828</v>
      </c>
      <c r="P60" s="199">
        <f t="shared" si="18"/>
        <v>69</v>
      </c>
    </row>
    <row r="61" spans="1:18">
      <c r="A61" t="s">
        <v>1624</v>
      </c>
      <c r="C61" s="282">
        <v>81</v>
      </c>
      <c r="D61" s="282">
        <v>81</v>
      </c>
      <c r="E61" s="282">
        <v>81</v>
      </c>
      <c r="F61" s="282">
        <v>81</v>
      </c>
      <c r="G61" s="282">
        <v>81</v>
      </c>
      <c r="H61" s="282">
        <v>81</v>
      </c>
      <c r="I61" s="282">
        <v>81</v>
      </c>
      <c r="J61" s="282">
        <v>81</v>
      </c>
      <c r="K61" s="282">
        <v>81</v>
      </c>
      <c r="L61" s="282">
        <v>81</v>
      </c>
      <c r="M61" s="282">
        <v>81</v>
      </c>
      <c r="N61" s="282">
        <v>81</v>
      </c>
      <c r="O61" s="199">
        <f t="shared" si="17"/>
        <v>972</v>
      </c>
      <c r="P61" s="199">
        <f t="shared" si="18"/>
        <v>81</v>
      </c>
    </row>
    <row r="62" spans="1:18">
      <c r="A62" t="s">
        <v>1624</v>
      </c>
      <c r="C62" s="282">
        <v>13</v>
      </c>
      <c r="D62" s="282">
        <v>13</v>
      </c>
      <c r="E62" s="282">
        <v>13</v>
      </c>
      <c r="F62" s="282">
        <v>13</v>
      </c>
      <c r="G62" s="282">
        <v>13</v>
      </c>
      <c r="H62" s="282">
        <v>13</v>
      </c>
      <c r="I62" s="282">
        <v>13</v>
      </c>
      <c r="J62" s="282">
        <v>13</v>
      </c>
      <c r="K62" s="282">
        <v>13</v>
      </c>
      <c r="L62" s="282">
        <v>13</v>
      </c>
      <c r="M62" s="282">
        <v>13</v>
      </c>
      <c r="N62" s="282">
        <v>13</v>
      </c>
      <c r="O62" s="199">
        <f t="shared" si="17"/>
        <v>156</v>
      </c>
      <c r="P62" s="199">
        <f t="shared" si="18"/>
        <v>13</v>
      </c>
    </row>
    <row r="63" spans="1:18">
      <c r="A63" t="s">
        <v>1625</v>
      </c>
      <c r="C63" s="282">
        <v>63</v>
      </c>
      <c r="D63" s="282">
        <v>63</v>
      </c>
      <c r="E63" s="282">
        <v>63</v>
      </c>
      <c r="F63" s="282">
        <v>63</v>
      </c>
      <c r="G63" s="282">
        <v>63</v>
      </c>
      <c r="H63" s="282">
        <v>63</v>
      </c>
      <c r="I63" s="282">
        <v>63</v>
      </c>
      <c r="J63" s="282">
        <v>63</v>
      </c>
      <c r="K63" s="282">
        <v>63</v>
      </c>
      <c r="L63" s="282">
        <v>63</v>
      </c>
      <c r="M63" s="282">
        <v>63</v>
      </c>
      <c r="N63" s="282">
        <v>63</v>
      </c>
      <c r="O63" s="199">
        <f t="shared" si="17"/>
        <v>756</v>
      </c>
      <c r="P63" s="199">
        <f t="shared" si="18"/>
        <v>63</v>
      </c>
    </row>
    <row r="64" spans="1:18">
      <c r="A64" t="s">
        <v>1626</v>
      </c>
      <c r="C64" s="282">
        <v>124</v>
      </c>
      <c r="D64" s="282">
        <v>124</v>
      </c>
      <c r="E64" s="282">
        <v>124</v>
      </c>
      <c r="F64" s="282">
        <v>124</v>
      </c>
      <c r="G64" s="282">
        <v>124</v>
      </c>
      <c r="H64" s="282">
        <v>124</v>
      </c>
      <c r="I64" s="282">
        <v>124</v>
      </c>
      <c r="J64" s="282">
        <v>124</v>
      </c>
      <c r="K64" s="282">
        <v>124</v>
      </c>
      <c r="L64" s="282">
        <v>124</v>
      </c>
      <c r="M64" s="282">
        <v>124</v>
      </c>
      <c r="N64" s="282">
        <v>124</v>
      </c>
      <c r="O64" s="199">
        <f t="shared" si="17"/>
        <v>1488</v>
      </c>
      <c r="P64" s="199">
        <f t="shared" si="18"/>
        <v>124</v>
      </c>
    </row>
    <row r="65" spans="1:16">
      <c r="A65" t="s">
        <v>1626</v>
      </c>
      <c r="C65" s="282">
        <v>119</v>
      </c>
      <c r="D65" s="282">
        <v>119</v>
      </c>
      <c r="E65" s="282">
        <v>119</v>
      </c>
      <c r="F65" s="282">
        <v>119</v>
      </c>
      <c r="G65" s="282">
        <v>119</v>
      </c>
      <c r="H65" s="282">
        <v>119</v>
      </c>
      <c r="I65" s="282">
        <v>119</v>
      </c>
      <c r="J65" s="282">
        <v>119</v>
      </c>
      <c r="K65" s="282">
        <v>119</v>
      </c>
      <c r="L65" s="282">
        <v>119</v>
      </c>
      <c r="M65" s="282">
        <v>119</v>
      </c>
      <c r="N65" s="282">
        <v>119</v>
      </c>
      <c r="O65" s="199">
        <f t="shared" si="17"/>
        <v>1428</v>
      </c>
      <c r="P65" s="199">
        <f t="shared" si="18"/>
        <v>119</v>
      </c>
    </row>
    <row r="66" spans="1:16">
      <c r="A66" s="1" t="s">
        <v>1627</v>
      </c>
      <c r="C66" s="304">
        <f>+SUM(C57:C65)</f>
        <v>900</v>
      </c>
      <c r="D66" s="304">
        <f t="shared" ref="D66:N66" si="19">+SUM(D57:D65)</f>
        <v>900</v>
      </c>
      <c r="E66" s="304">
        <f t="shared" si="19"/>
        <v>900</v>
      </c>
      <c r="F66" s="304">
        <f t="shared" si="19"/>
        <v>900</v>
      </c>
      <c r="G66" s="304">
        <f t="shared" si="19"/>
        <v>900</v>
      </c>
      <c r="H66" s="304">
        <f t="shared" si="19"/>
        <v>900</v>
      </c>
      <c r="I66" s="304">
        <f t="shared" si="19"/>
        <v>900</v>
      </c>
      <c r="J66" s="304">
        <f t="shared" si="19"/>
        <v>900</v>
      </c>
      <c r="K66" s="304">
        <f t="shared" si="19"/>
        <v>900</v>
      </c>
      <c r="L66" s="304">
        <f t="shared" si="19"/>
        <v>900</v>
      </c>
      <c r="M66" s="304">
        <f t="shared" si="19"/>
        <v>900</v>
      </c>
      <c r="N66" s="304">
        <f t="shared" si="19"/>
        <v>900</v>
      </c>
      <c r="O66" s="199">
        <f>SUM(C66:N66)</f>
        <v>10800</v>
      </c>
      <c r="P66" s="98">
        <f t="shared" si="18"/>
        <v>900</v>
      </c>
    </row>
    <row r="69" spans="1:16">
      <c r="A69" s="1" t="s">
        <v>454</v>
      </c>
    </row>
    <row r="70" spans="1:16">
      <c r="A70" t="s">
        <v>436</v>
      </c>
      <c r="B70" t="s">
        <v>433</v>
      </c>
      <c r="C70" s="304">
        <f t="shared" ref="C70:N70" si="20">+C17</f>
        <v>23.510791366906478</v>
      </c>
      <c r="D70" s="304">
        <f t="shared" si="20"/>
        <v>25.701952723535456</v>
      </c>
      <c r="E70" s="304">
        <f t="shared" si="20"/>
        <v>23.843782117163411</v>
      </c>
      <c r="F70" s="304">
        <f t="shared" si="20"/>
        <v>23.520041109969171</v>
      </c>
      <c r="G70" s="304">
        <f t="shared" si="20"/>
        <v>22.088386433710177</v>
      </c>
      <c r="H70" s="304">
        <f t="shared" si="20"/>
        <v>32.996916752312437</v>
      </c>
      <c r="I70" s="304">
        <f t="shared" si="20"/>
        <v>29.864337101747175</v>
      </c>
      <c r="J70" s="304">
        <f t="shared" si="20"/>
        <v>29.959917780061669</v>
      </c>
      <c r="K70" s="304">
        <f t="shared" si="20"/>
        <v>21.463514902363823</v>
      </c>
      <c r="L70" s="304">
        <f t="shared" si="20"/>
        <v>21.102774922918808</v>
      </c>
      <c r="M70" s="304">
        <f t="shared" si="20"/>
        <v>23.46454265159301</v>
      </c>
      <c r="N70" s="304">
        <f t="shared" si="20"/>
        <v>24.314491264131554</v>
      </c>
      <c r="O70" s="304">
        <f>SUM(C70:N70)</f>
        <v>301.83144912641313</v>
      </c>
      <c r="P70" s="304">
        <f>AVERAGE(C70:N70)</f>
        <v>25.152620760534429</v>
      </c>
    </row>
    <row r="71" spans="1:16">
      <c r="A71" t="s">
        <v>437</v>
      </c>
      <c r="C71" s="304">
        <f t="shared" ref="C71:N71" si="21">+C18</f>
        <v>0</v>
      </c>
      <c r="D71" s="304">
        <f t="shared" si="21"/>
        <v>0</v>
      </c>
      <c r="E71" s="304">
        <f t="shared" si="21"/>
        <v>0</v>
      </c>
      <c r="F71" s="304">
        <f t="shared" si="21"/>
        <v>0</v>
      </c>
      <c r="G71" s="304">
        <f t="shared" si="21"/>
        <v>0</v>
      </c>
      <c r="H71" s="304">
        <f t="shared" si="21"/>
        <v>0</v>
      </c>
      <c r="I71" s="304">
        <f t="shared" si="21"/>
        <v>0</v>
      </c>
      <c r="J71" s="304">
        <f t="shared" si="21"/>
        <v>0</v>
      </c>
      <c r="K71" s="304">
        <f t="shared" si="21"/>
        <v>0</v>
      </c>
      <c r="L71" s="304">
        <f t="shared" si="21"/>
        <v>0</v>
      </c>
      <c r="M71" s="304">
        <f t="shared" si="21"/>
        <v>0</v>
      </c>
      <c r="N71" s="304">
        <f t="shared" si="21"/>
        <v>0</v>
      </c>
      <c r="O71" s="304">
        <f>SUM(C71:N71)</f>
        <v>0</v>
      </c>
      <c r="P71" s="304">
        <f>AVERAGE(C71:N71)</f>
        <v>0</v>
      </c>
    </row>
    <row r="72" spans="1:16">
      <c r="A72" t="s">
        <v>438</v>
      </c>
      <c r="B72" t="s">
        <v>433</v>
      </c>
      <c r="C72" s="304">
        <f t="shared" ref="C72:N72" si="22">+C19</f>
        <v>0</v>
      </c>
      <c r="D72" s="304">
        <f t="shared" si="22"/>
        <v>0</v>
      </c>
      <c r="E72" s="304">
        <f t="shared" si="22"/>
        <v>0</v>
      </c>
      <c r="F72" s="304">
        <f t="shared" si="22"/>
        <v>0</v>
      </c>
      <c r="G72" s="304">
        <f t="shared" si="22"/>
        <v>0</v>
      </c>
      <c r="H72" s="304">
        <f t="shared" si="22"/>
        <v>0</v>
      </c>
      <c r="I72" s="304">
        <f t="shared" si="22"/>
        <v>0</v>
      </c>
      <c r="J72" s="304">
        <f t="shared" si="22"/>
        <v>0</v>
      </c>
      <c r="K72" s="304">
        <f t="shared" si="22"/>
        <v>0</v>
      </c>
      <c r="L72" s="304">
        <f t="shared" si="22"/>
        <v>0</v>
      </c>
      <c r="M72" s="304">
        <f t="shared" si="22"/>
        <v>0</v>
      </c>
      <c r="N72" s="304">
        <f t="shared" si="22"/>
        <v>0</v>
      </c>
      <c r="O72" s="304">
        <f>SUM(C72:N72)</f>
        <v>0</v>
      </c>
      <c r="P72" s="304">
        <f>AVERAGE(C72:N72)</f>
        <v>0</v>
      </c>
    </row>
    <row r="74" spans="1:16">
      <c r="A74" s="1" t="s">
        <v>778</v>
      </c>
      <c r="C74" s="1" t="s">
        <v>782</v>
      </c>
      <c r="E74" s="1" t="s">
        <v>11</v>
      </c>
    </row>
    <row r="75" spans="1:16">
      <c r="A75" t="s">
        <v>779</v>
      </c>
      <c r="C75" s="304">
        <f>$N$24</f>
        <v>395.5827338129497</v>
      </c>
      <c r="D75" s="114">
        <f>+C75/$C$78</f>
        <v>0.19729437972794125</v>
      </c>
      <c r="E75" t="s">
        <v>1671</v>
      </c>
    </row>
    <row r="76" spans="1:16">
      <c r="A76" t="s">
        <v>780</v>
      </c>
      <c r="C76" s="304">
        <f>$N$30</f>
        <v>216.8550873586845</v>
      </c>
      <c r="D76" s="114">
        <f>+C76/$C$78</f>
        <v>0.10815509953857241</v>
      </c>
      <c r="E76" t="s">
        <v>1672</v>
      </c>
    </row>
    <row r="77" spans="1:16">
      <c r="A77" t="s">
        <v>781</v>
      </c>
      <c r="C77" s="304">
        <f>$N$52</f>
        <v>1392.6002055498459</v>
      </c>
      <c r="D77" s="114">
        <f>+C77/$C$78</f>
        <v>0.69455052073348633</v>
      </c>
      <c r="E77" t="s">
        <v>1673</v>
      </c>
    </row>
    <row r="78" spans="1:16">
      <c r="A78" s="1" t="s">
        <v>55</v>
      </c>
      <c r="C78" s="304">
        <f>SUM(C75:C77)</f>
        <v>2005.03802672148</v>
      </c>
      <c r="D78" s="115">
        <f>SUM(D75:D77)</f>
        <v>1</v>
      </c>
    </row>
    <row r="80" spans="1:16">
      <c r="A80" s="1" t="s">
        <v>654</v>
      </c>
    </row>
    <row r="81" spans="1:16">
      <c r="A81" t="str">
        <f t="shared" ref="A81:A89" si="23">A14</f>
        <v>Western for Kirtland Air Force Base</v>
      </c>
      <c r="C81" s="282">
        <v>48.707000000000001</v>
      </c>
      <c r="D81" s="282">
        <v>44.975999999999999</v>
      </c>
      <c r="E81" s="282">
        <v>45.237000000000002</v>
      </c>
      <c r="F81" s="282">
        <v>44.37</v>
      </c>
      <c r="G81" s="282">
        <v>57.689</v>
      </c>
      <c r="H81" s="282">
        <v>62.484999999999999</v>
      </c>
      <c r="I81" s="282">
        <v>65.668999999999997</v>
      </c>
      <c r="J81" s="282">
        <v>63.757000000000005</v>
      </c>
      <c r="K81" s="282">
        <v>59.786000000000001</v>
      </c>
      <c r="L81" s="282">
        <v>54.726999999999997</v>
      </c>
      <c r="M81" s="282">
        <v>45.415999999999997</v>
      </c>
      <c r="N81" s="282">
        <v>50.161000000000001</v>
      </c>
      <c r="O81" s="199">
        <f>+SUM(C81:N81)</f>
        <v>642.98</v>
      </c>
      <c r="P81" s="304"/>
    </row>
    <row r="82" spans="1:16">
      <c r="A82" t="str">
        <f t="shared" si="23"/>
        <v>Tri-State G&amp;T</v>
      </c>
      <c r="C82" s="282">
        <v>163</v>
      </c>
      <c r="D82" s="282">
        <v>179</v>
      </c>
      <c r="E82" s="282">
        <v>158</v>
      </c>
      <c r="F82" s="282">
        <v>185</v>
      </c>
      <c r="G82" s="282">
        <v>204</v>
      </c>
      <c r="H82" s="282">
        <v>253</v>
      </c>
      <c r="I82" s="282">
        <v>260</v>
      </c>
      <c r="J82" s="282">
        <v>276</v>
      </c>
      <c r="K82" s="282">
        <v>213</v>
      </c>
      <c r="L82" s="282">
        <v>147</v>
      </c>
      <c r="M82" s="282">
        <v>164</v>
      </c>
      <c r="N82" s="282">
        <v>187</v>
      </c>
      <c r="O82" s="199">
        <f t="shared" ref="O82:O88" si="24">+SUM(C82:N82)</f>
        <v>2389</v>
      </c>
      <c r="P82" s="304"/>
    </row>
    <row r="83" spans="1:16">
      <c r="A83" t="str">
        <f t="shared" si="23"/>
        <v>Los Alamos County</v>
      </c>
      <c r="C83" s="282">
        <v>47</v>
      </c>
      <c r="D83" s="282">
        <v>51</v>
      </c>
      <c r="E83" s="282">
        <v>24</v>
      </c>
      <c r="F83" s="282">
        <v>24</v>
      </c>
      <c r="G83" s="282">
        <v>24</v>
      </c>
      <c r="H83" s="282">
        <v>34</v>
      </c>
      <c r="I83" s="282">
        <v>31</v>
      </c>
      <c r="J83" s="282">
        <v>35</v>
      </c>
      <c r="K83" s="282">
        <v>27</v>
      </c>
      <c r="L83" s="282">
        <v>25</v>
      </c>
      <c r="M83" s="282">
        <v>29</v>
      </c>
      <c r="N83" s="282">
        <v>31</v>
      </c>
      <c r="O83" s="199">
        <f t="shared" si="24"/>
        <v>382</v>
      </c>
      <c r="P83" s="304"/>
    </row>
    <row r="84" spans="1:16">
      <c r="A84" t="str">
        <f t="shared" si="23"/>
        <v>City of Gallup</v>
      </c>
      <c r="C84" s="282">
        <v>22.876000000000001</v>
      </c>
      <c r="D84" s="282">
        <v>25.007999999999999</v>
      </c>
      <c r="E84" s="282">
        <v>23.2</v>
      </c>
      <c r="F84" s="282">
        <v>22.885000000000002</v>
      </c>
      <c r="G84" s="282">
        <v>21.492000000000001</v>
      </c>
      <c r="H84" s="282">
        <v>32.106000000000002</v>
      </c>
      <c r="I84" s="282">
        <v>29.058</v>
      </c>
      <c r="J84" s="282">
        <v>29.151000000000003</v>
      </c>
      <c r="K84" s="282">
        <v>20.884</v>
      </c>
      <c r="L84" s="282">
        <v>20.533000000000001</v>
      </c>
      <c r="M84" s="282">
        <v>22.831</v>
      </c>
      <c r="N84" s="282">
        <v>23.658000000000001</v>
      </c>
      <c r="O84" s="199">
        <f t="shared" si="24"/>
        <v>293.68200000000007</v>
      </c>
      <c r="P84" s="304"/>
    </row>
    <row r="85" spans="1:16">
      <c r="A85" t="str">
        <f t="shared" si="23"/>
        <v>Navopache Electric Cooperative</v>
      </c>
      <c r="C85" s="282">
        <v>0</v>
      </c>
      <c r="D85" s="282">
        <v>0</v>
      </c>
      <c r="E85" s="282">
        <v>0</v>
      </c>
      <c r="F85" s="282">
        <v>0</v>
      </c>
      <c r="G85" s="282">
        <v>0</v>
      </c>
      <c r="H85" s="282">
        <v>0</v>
      </c>
      <c r="I85" s="282">
        <v>0</v>
      </c>
      <c r="J85" s="282">
        <v>0</v>
      </c>
      <c r="K85" s="282">
        <v>0</v>
      </c>
      <c r="L85" s="282">
        <v>0</v>
      </c>
      <c r="M85" s="282">
        <v>0</v>
      </c>
      <c r="N85" s="282">
        <v>0</v>
      </c>
      <c r="O85" s="199">
        <f t="shared" si="24"/>
        <v>0</v>
      </c>
      <c r="P85" s="304"/>
    </row>
    <row r="86" spans="1:16">
      <c r="A86" t="str">
        <f t="shared" si="23"/>
        <v>City of Aztec</v>
      </c>
      <c r="C86" s="282">
        <v>0</v>
      </c>
      <c r="D86" s="282">
        <v>0</v>
      </c>
      <c r="E86" s="282">
        <v>0</v>
      </c>
      <c r="F86" s="282">
        <v>0</v>
      </c>
      <c r="G86" s="282">
        <v>0</v>
      </c>
      <c r="H86" s="282">
        <v>0</v>
      </c>
      <c r="I86" s="282">
        <v>0</v>
      </c>
      <c r="J86" s="282">
        <v>0</v>
      </c>
      <c r="K86" s="282">
        <v>0</v>
      </c>
      <c r="L86" s="282">
        <v>0</v>
      </c>
      <c r="M86" s="282">
        <v>0</v>
      </c>
      <c r="N86" s="282">
        <v>0</v>
      </c>
      <c r="O86" s="199">
        <f t="shared" si="24"/>
        <v>0</v>
      </c>
      <c r="P86" s="304"/>
    </row>
    <row r="87" spans="1:16">
      <c r="A87" t="str">
        <f t="shared" si="23"/>
        <v>NTUA</v>
      </c>
      <c r="C87" s="282">
        <v>28.507999999999999</v>
      </c>
      <c r="D87" s="282">
        <v>38.737000000000002</v>
      </c>
      <c r="E87" s="282">
        <v>30.99</v>
      </c>
      <c r="F87" s="282">
        <v>31.440999999999999</v>
      </c>
      <c r="G87" s="282">
        <v>26.016999999999999</v>
      </c>
      <c r="H87" s="282">
        <v>30.061</v>
      </c>
      <c r="I87" s="282">
        <v>28.123000000000001</v>
      </c>
      <c r="J87" s="282">
        <v>26.904</v>
      </c>
      <c r="K87" s="282">
        <v>25.875</v>
      </c>
      <c r="L87" s="282">
        <v>21.47</v>
      </c>
      <c r="M87" s="282">
        <v>28.422000000000001</v>
      </c>
      <c r="N87" s="282">
        <v>30.251999999999999</v>
      </c>
      <c r="O87" s="199">
        <f t="shared" si="24"/>
        <v>346.8</v>
      </c>
      <c r="P87" s="304"/>
    </row>
    <row r="88" spans="1:16">
      <c r="A88" t="str">
        <f t="shared" si="23"/>
        <v>Jicarilla Apache Nation</v>
      </c>
      <c r="C88" s="282">
        <v>3.3330000000000002</v>
      </c>
      <c r="D88" s="282">
        <v>3.5009999999999999</v>
      </c>
      <c r="E88" s="282">
        <v>3.1930000000000001</v>
      </c>
      <c r="F88" s="282">
        <v>3.1360000000000001</v>
      </c>
      <c r="G88" s="282">
        <v>2.6</v>
      </c>
      <c r="H88" s="282">
        <v>3.3210000000000002</v>
      </c>
      <c r="I88" s="282">
        <v>3.5070000000000001</v>
      </c>
      <c r="J88" s="282">
        <v>3.3279999999999998</v>
      </c>
      <c r="K88" s="282">
        <v>2.645</v>
      </c>
      <c r="L88" s="282">
        <v>2.819</v>
      </c>
      <c r="M88" s="282">
        <v>3.3690000000000002</v>
      </c>
      <c r="N88" s="282">
        <v>3.7709999999999999</v>
      </c>
      <c r="O88" s="199">
        <f t="shared" si="24"/>
        <v>38.523000000000003</v>
      </c>
      <c r="P88" s="304"/>
    </row>
    <row r="89" spans="1:16">
      <c r="A89" t="str">
        <f t="shared" si="23"/>
        <v>Kit Karson Electric Coop</v>
      </c>
      <c r="C89" s="282">
        <v>52.694000000000003</v>
      </c>
      <c r="D89" s="282">
        <v>52.703000000000003</v>
      </c>
      <c r="E89" s="282">
        <v>46.957999999999998</v>
      </c>
      <c r="F89" s="282">
        <v>44.374000000000002</v>
      </c>
      <c r="G89" s="282">
        <v>29.93</v>
      </c>
      <c r="H89" s="282">
        <v>35.39</v>
      </c>
      <c r="I89" s="282">
        <v>36.061</v>
      </c>
      <c r="J89" s="282">
        <v>35.828000000000003</v>
      </c>
      <c r="K89" s="282">
        <v>29.593</v>
      </c>
      <c r="L89" s="282">
        <v>30.375</v>
      </c>
      <c r="M89" s="282">
        <v>53.67</v>
      </c>
      <c r="N89" s="282">
        <v>57.06</v>
      </c>
      <c r="O89" s="199">
        <f>+SUM(C89:N89)</f>
        <v>504.63600000000002</v>
      </c>
      <c r="P89" s="304"/>
    </row>
    <row r="90" spans="1:16">
      <c r="A90" t="s">
        <v>1635</v>
      </c>
      <c r="C90" s="282">
        <v>2.512</v>
      </c>
      <c r="D90" s="282">
        <v>2.694</v>
      </c>
      <c r="E90" s="282">
        <v>2.7130000000000001</v>
      </c>
      <c r="F90" s="282">
        <v>2.4729999999999999</v>
      </c>
      <c r="G90" s="282">
        <v>2</v>
      </c>
      <c r="H90" s="282">
        <v>2.742</v>
      </c>
      <c r="I90" s="282">
        <v>2.851</v>
      </c>
      <c r="J90" s="282">
        <v>2</v>
      </c>
      <c r="K90" s="282">
        <v>2</v>
      </c>
      <c r="L90" s="282">
        <v>3</v>
      </c>
      <c r="M90" s="282">
        <v>2</v>
      </c>
      <c r="N90" s="282">
        <v>2</v>
      </c>
      <c r="O90" s="199">
        <f>+SUM(C90:N90)</f>
        <v>28.984999999999999</v>
      </c>
      <c r="P90" s="304"/>
    </row>
    <row r="91" spans="1:16">
      <c r="C91" s="304"/>
      <c r="D91" s="304"/>
      <c r="E91" s="304"/>
      <c r="F91" s="304"/>
      <c r="G91" s="304"/>
      <c r="H91" s="304"/>
      <c r="I91" s="304"/>
      <c r="J91" s="304"/>
      <c r="K91" s="304"/>
      <c r="L91" s="304"/>
      <c r="M91" s="304"/>
      <c r="N91" s="304"/>
      <c r="O91" s="199"/>
      <c r="P91" s="304"/>
    </row>
    <row r="92" spans="1:16">
      <c r="A92" s="1" t="s">
        <v>441</v>
      </c>
      <c r="O92" s="98"/>
    </row>
    <row r="93" spans="1:16">
      <c r="A93" t="s">
        <v>442</v>
      </c>
      <c r="C93" s="282">
        <v>0</v>
      </c>
      <c r="D93" s="282">
        <v>0</v>
      </c>
      <c r="E93" s="282">
        <v>0</v>
      </c>
      <c r="F93" s="282">
        <v>0</v>
      </c>
      <c r="G93" s="282">
        <v>0</v>
      </c>
      <c r="H93" s="282">
        <v>0</v>
      </c>
      <c r="I93" s="282">
        <v>0</v>
      </c>
      <c r="J93" s="282">
        <v>0</v>
      </c>
      <c r="K93" s="282">
        <v>0</v>
      </c>
      <c r="L93" s="282">
        <v>0</v>
      </c>
      <c r="M93" s="282">
        <v>0</v>
      </c>
      <c r="N93" s="282">
        <v>0</v>
      </c>
      <c r="O93" s="199">
        <f>+SUM(C93:N93)</f>
        <v>0</v>
      </c>
    </row>
    <row r="94" spans="1:16">
      <c r="A94" t="s">
        <v>443</v>
      </c>
      <c r="C94" s="282">
        <v>220</v>
      </c>
      <c r="D94" s="282">
        <v>222</v>
      </c>
      <c r="E94" s="282">
        <v>214</v>
      </c>
      <c r="F94" s="282">
        <v>184</v>
      </c>
      <c r="G94" s="282">
        <v>172</v>
      </c>
      <c r="H94" s="282">
        <v>172</v>
      </c>
      <c r="I94" s="282">
        <v>177</v>
      </c>
      <c r="J94" s="282">
        <v>173</v>
      </c>
      <c r="K94" s="282">
        <v>175</v>
      </c>
      <c r="L94" s="282">
        <v>209</v>
      </c>
      <c r="M94" s="282">
        <v>211</v>
      </c>
      <c r="N94" s="282">
        <v>211</v>
      </c>
      <c r="O94" s="199">
        <f>+SUM(C94:N94)</f>
        <v>2340</v>
      </c>
      <c r="P94" s="304"/>
    </row>
    <row r="95" spans="1:16">
      <c r="A95" t="s">
        <v>444</v>
      </c>
      <c r="C95" s="282">
        <v>0.50700000000000001</v>
      </c>
      <c r="D95" s="282">
        <v>0.44800000000000001</v>
      </c>
      <c r="E95" s="282">
        <v>0.69299999999999995</v>
      </c>
      <c r="F95" s="282">
        <v>3.6539999999999999</v>
      </c>
      <c r="G95" s="282">
        <v>11.259</v>
      </c>
      <c r="H95" s="282">
        <v>15.02</v>
      </c>
      <c r="I95" s="282">
        <v>14.576000000000001</v>
      </c>
      <c r="J95" s="282">
        <v>14.051</v>
      </c>
      <c r="K95" s="282">
        <v>8.1989999999999998</v>
      </c>
      <c r="L95" s="282">
        <v>4.1859999999999999</v>
      </c>
      <c r="M95" s="282">
        <v>0</v>
      </c>
      <c r="N95" s="282">
        <v>0</v>
      </c>
      <c r="O95" s="199">
        <f>+SUM(C95:N95)</f>
        <v>72.592999999999989</v>
      </c>
    </row>
    <row r="96" spans="1:16">
      <c r="C96" s="304"/>
      <c r="D96" s="304"/>
      <c r="E96" s="304"/>
      <c r="F96" s="304"/>
      <c r="G96" s="304"/>
      <c r="H96" s="304"/>
      <c r="I96" s="304"/>
      <c r="J96" s="304"/>
      <c r="K96" s="304"/>
      <c r="L96" s="304"/>
      <c r="M96" s="304"/>
      <c r="N96" s="304"/>
      <c r="O96" s="98"/>
    </row>
    <row r="97" spans="1:17">
      <c r="A97" s="1" t="s">
        <v>446</v>
      </c>
      <c r="O97" s="98"/>
    </row>
    <row r="98" spans="1:17">
      <c r="A98" s="570" t="s">
        <v>1607</v>
      </c>
      <c r="C98" s="283">
        <v>125</v>
      </c>
      <c r="D98" s="283">
        <v>125</v>
      </c>
      <c r="E98" s="283">
        <v>125</v>
      </c>
      <c r="F98" s="283">
        <v>125</v>
      </c>
      <c r="G98" s="283">
        <v>125</v>
      </c>
      <c r="H98" s="283">
        <v>125</v>
      </c>
      <c r="I98" s="283">
        <v>125</v>
      </c>
      <c r="J98" s="283">
        <v>125</v>
      </c>
      <c r="K98" s="283">
        <v>125</v>
      </c>
      <c r="L98" s="283">
        <v>125</v>
      </c>
      <c r="M98" s="283">
        <v>125</v>
      </c>
      <c r="N98" s="283">
        <v>125</v>
      </c>
      <c r="O98" s="199">
        <f t="shared" ref="O98:O106" si="25">SUM(C98:N98)</f>
        <v>1500</v>
      </c>
      <c r="Q98" t="s">
        <v>1628</v>
      </c>
    </row>
    <row r="99" spans="1:17">
      <c r="A99" s="570" t="s">
        <v>1608</v>
      </c>
      <c r="C99" s="283">
        <v>75</v>
      </c>
      <c r="D99" s="283">
        <v>75</v>
      </c>
      <c r="E99" s="283">
        <v>75</v>
      </c>
      <c r="F99" s="283">
        <v>75</v>
      </c>
      <c r="G99" s="283">
        <v>75</v>
      </c>
      <c r="H99" s="283">
        <v>75</v>
      </c>
      <c r="I99" s="283">
        <v>75</v>
      </c>
      <c r="J99" s="283">
        <v>75</v>
      </c>
      <c r="K99" s="283">
        <v>75</v>
      </c>
      <c r="L99" s="283">
        <v>75</v>
      </c>
      <c r="M99" s="283">
        <v>75</v>
      </c>
      <c r="N99" s="283">
        <v>75</v>
      </c>
      <c r="O99" s="199">
        <f t="shared" si="25"/>
        <v>900</v>
      </c>
      <c r="Q99" t="s">
        <v>1628</v>
      </c>
    </row>
    <row r="100" spans="1:17">
      <c r="A100" s="570" t="s">
        <v>1609</v>
      </c>
      <c r="C100" s="283">
        <v>38</v>
      </c>
      <c r="D100" s="283">
        <v>38</v>
      </c>
      <c r="E100" s="283">
        <v>38</v>
      </c>
      <c r="F100" s="283">
        <v>38</v>
      </c>
      <c r="G100" s="283">
        <v>38</v>
      </c>
      <c r="H100" s="283">
        <v>38</v>
      </c>
      <c r="I100" s="283">
        <v>38</v>
      </c>
      <c r="J100" s="283">
        <v>38</v>
      </c>
      <c r="K100" s="283">
        <v>38</v>
      </c>
      <c r="L100" s="283">
        <v>38</v>
      </c>
      <c r="M100" s="283">
        <v>38</v>
      </c>
      <c r="N100" s="283">
        <v>38</v>
      </c>
      <c r="O100" s="199">
        <f t="shared" si="25"/>
        <v>456</v>
      </c>
      <c r="Q100" t="s">
        <v>1441</v>
      </c>
    </row>
    <row r="101" spans="1:17">
      <c r="A101" s="570" t="s">
        <v>1610</v>
      </c>
      <c r="C101" s="283">
        <v>170</v>
      </c>
      <c r="D101" s="283">
        <v>170</v>
      </c>
      <c r="E101" s="283">
        <v>170</v>
      </c>
      <c r="F101" s="283">
        <v>170</v>
      </c>
      <c r="G101" s="283">
        <v>170</v>
      </c>
      <c r="H101" s="283">
        <v>170</v>
      </c>
      <c r="I101" s="283">
        <v>170</v>
      </c>
      <c r="J101" s="283">
        <v>170</v>
      </c>
      <c r="K101" s="283">
        <v>170</v>
      </c>
      <c r="L101" s="283">
        <v>170</v>
      </c>
      <c r="M101" s="283">
        <v>170</v>
      </c>
      <c r="N101" s="283">
        <v>170</v>
      </c>
      <c r="O101" s="199">
        <f t="shared" si="25"/>
        <v>2040</v>
      </c>
      <c r="Q101" t="s">
        <v>1441</v>
      </c>
    </row>
    <row r="102" spans="1:17">
      <c r="A102" s="570" t="s">
        <v>1611</v>
      </c>
      <c r="C102" s="283">
        <v>5</v>
      </c>
      <c r="D102" s="283">
        <v>5</v>
      </c>
      <c r="E102" s="283">
        <v>5</v>
      </c>
      <c r="F102" s="283">
        <v>5</v>
      </c>
      <c r="G102" s="283">
        <v>5</v>
      </c>
      <c r="H102" s="283">
        <v>5</v>
      </c>
      <c r="I102" s="283">
        <v>5</v>
      </c>
      <c r="J102" s="283">
        <v>5</v>
      </c>
      <c r="K102" s="283">
        <v>5</v>
      </c>
      <c r="L102" s="283">
        <v>5</v>
      </c>
      <c r="M102" s="283">
        <v>5</v>
      </c>
      <c r="N102" s="283">
        <v>5</v>
      </c>
      <c r="O102" s="199">
        <f t="shared" si="25"/>
        <v>60</v>
      </c>
      <c r="Q102" t="s">
        <v>1441</v>
      </c>
    </row>
    <row r="103" spans="1:17">
      <c r="A103" s="570" t="s">
        <v>1612</v>
      </c>
      <c r="C103" s="283">
        <v>56</v>
      </c>
      <c r="D103" s="283">
        <v>56</v>
      </c>
      <c r="E103" s="283">
        <v>56</v>
      </c>
      <c r="F103" s="283">
        <v>56</v>
      </c>
      <c r="G103" s="283">
        <v>56</v>
      </c>
      <c r="H103" s="283">
        <v>56</v>
      </c>
      <c r="I103" s="283">
        <v>56</v>
      </c>
      <c r="J103" s="283">
        <v>56</v>
      </c>
      <c r="K103" s="283">
        <v>56</v>
      </c>
      <c r="L103" s="283">
        <v>56</v>
      </c>
      <c r="M103" s="283">
        <v>56</v>
      </c>
      <c r="N103" s="283">
        <v>56</v>
      </c>
      <c r="O103" s="199">
        <f t="shared" si="25"/>
        <v>672</v>
      </c>
      <c r="Q103" t="s">
        <v>1441</v>
      </c>
    </row>
    <row r="104" spans="1:17">
      <c r="A104" s="570" t="s">
        <v>1613</v>
      </c>
      <c r="C104" s="283">
        <v>42</v>
      </c>
      <c r="D104" s="283">
        <v>42</v>
      </c>
      <c r="E104" s="283">
        <v>42</v>
      </c>
      <c r="F104" s="283">
        <v>42</v>
      </c>
      <c r="G104" s="283">
        <v>42</v>
      </c>
      <c r="H104" s="283">
        <v>42</v>
      </c>
      <c r="I104" s="283">
        <v>42</v>
      </c>
      <c r="J104" s="283">
        <v>42</v>
      </c>
      <c r="K104" s="283">
        <v>42</v>
      </c>
      <c r="L104" s="283">
        <v>42</v>
      </c>
      <c r="M104" s="283">
        <v>42</v>
      </c>
      <c r="N104" s="283">
        <v>42</v>
      </c>
      <c r="O104" s="98">
        <f t="shared" si="25"/>
        <v>504</v>
      </c>
      <c r="Q104" t="s">
        <v>1428</v>
      </c>
    </row>
    <row r="105" spans="1:17">
      <c r="A105" s="570" t="s">
        <v>1614</v>
      </c>
      <c r="C105" s="283">
        <v>125</v>
      </c>
      <c r="D105" s="283">
        <v>125</v>
      </c>
      <c r="E105" s="283">
        <v>125</v>
      </c>
      <c r="F105" s="283">
        <v>125</v>
      </c>
      <c r="G105" s="283">
        <v>125</v>
      </c>
      <c r="H105" s="283">
        <v>125</v>
      </c>
      <c r="I105" s="283">
        <v>125</v>
      </c>
      <c r="J105" s="283">
        <v>125</v>
      </c>
      <c r="K105" s="283">
        <v>125</v>
      </c>
      <c r="L105" s="283">
        <v>125</v>
      </c>
      <c r="M105" s="283">
        <v>125</v>
      </c>
      <c r="N105" s="283">
        <v>125</v>
      </c>
      <c r="O105" s="98">
        <f t="shared" si="25"/>
        <v>1500</v>
      </c>
      <c r="Q105" t="s">
        <v>1428</v>
      </c>
    </row>
    <row r="106" spans="1:17">
      <c r="A106" s="570" t="s">
        <v>1615</v>
      </c>
      <c r="C106" s="283">
        <v>130</v>
      </c>
      <c r="D106" s="283">
        <v>130</v>
      </c>
      <c r="E106" s="283">
        <v>130</v>
      </c>
      <c r="F106" s="283">
        <v>130</v>
      </c>
      <c r="G106" s="283">
        <v>130</v>
      </c>
      <c r="H106" s="283">
        <v>130</v>
      </c>
      <c r="I106" s="283">
        <v>130</v>
      </c>
      <c r="J106" s="283">
        <v>130</v>
      </c>
      <c r="K106" s="283">
        <v>130</v>
      </c>
      <c r="L106" s="283">
        <v>130</v>
      </c>
      <c r="M106" s="283">
        <v>130</v>
      </c>
      <c r="N106" s="283">
        <v>130</v>
      </c>
      <c r="O106" s="98">
        <f t="shared" si="25"/>
        <v>1560</v>
      </c>
      <c r="Q106" t="s">
        <v>1605</v>
      </c>
    </row>
    <row r="107" spans="1:17">
      <c r="A107" s="570" t="s">
        <v>1616</v>
      </c>
      <c r="C107" s="283">
        <v>40</v>
      </c>
      <c r="D107" s="283">
        <v>40</v>
      </c>
      <c r="E107" s="283">
        <v>40</v>
      </c>
      <c r="F107" s="283">
        <v>40</v>
      </c>
      <c r="G107" s="283">
        <v>40</v>
      </c>
      <c r="H107" s="283">
        <v>40</v>
      </c>
      <c r="I107" s="283">
        <v>40</v>
      </c>
      <c r="J107" s="283">
        <v>40</v>
      </c>
      <c r="K107" s="283">
        <v>40</v>
      </c>
      <c r="L107" s="283">
        <v>40</v>
      </c>
      <c r="M107" s="283">
        <v>40</v>
      </c>
      <c r="N107" s="283">
        <v>40</v>
      </c>
      <c r="O107" s="98">
        <f t="shared" ref="O107:O115" si="26">SUM(C107:N107)</f>
        <v>480</v>
      </c>
      <c r="Q107" t="s">
        <v>1629</v>
      </c>
    </row>
    <row r="108" spans="1:17">
      <c r="A108" s="570" t="s">
        <v>1617</v>
      </c>
      <c r="C108" s="283">
        <v>50</v>
      </c>
      <c r="D108" s="283">
        <v>50</v>
      </c>
      <c r="E108" s="283">
        <v>50</v>
      </c>
      <c r="F108" s="283">
        <v>50</v>
      </c>
      <c r="G108" s="283">
        <v>50</v>
      </c>
      <c r="H108" s="283">
        <v>50</v>
      </c>
      <c r="I108" s="283">
        <v>50</v>
      </c>
      <c r="J108" s="283">
        <v>50</v>
      </c>
      <c r="K108" s="283">
        <v>50</v>
      </c>
      <c r="L108" s="283">
        <v>50</v>
      </c>
      <c r="M108" s="283">
        <v>50</v>
      </c>
      <c r="N108" s="283">
        <v>50</v>
      </c>
      <c r="O108" s="98">
        <f t="shared" si="26"/>
        <v>600</v>
      </c>
      <c r="Q108" t="s">
        <v>1642</v>
      </c>
    </row>
    <row r="109" spans="1:17">
      <c r="A109" s="570" t="s">
        <v>1618</v>
      </c>
      <c r="C109" s="283">
        <v>25</v>
      </c>
      <c r="D109" s="283">
        <v>25</v>
      </c>
      <c r="E109" s="283">
        <v>25</v>
      </c>
      <c r="F109" s="283">
        <v>25</v>
      </c>
      <c r="G109" s="283">
        <v>25</v>
      </c>
      <c r="H109" s="283">
        <v>25</v>
      </c>
      <c r="I109" s="283">
        <v>25</v>
      </c>
      <c r="J109" s="283">
        <v>25</v>
      </c>
      <c r="K109" s="283">
        <v>25</v>
      </c>
      <c r="L109" s="283">
        <v>25</v>
      </c>
      <c r="M109" s="283">
        <v>25</v>
      </c>
      <c r="N109" s="283">
        <v>25</v>
      </c>
      <c r="O109" s="98">
        <f t="shared" si="26"/>
        <v>300</v>
      </c>
      <c r="Q109" t="s">
        <v>1642</v>
      </c>
    </row>
    <row r="110" spans="1:17">
      <c r="A110" s="570" t="s">
        <v>1619</v>
      </c>
      <c r="C110" s="283">
        <v>15</v>
      </c>
      <c r="D110" s="283">
        <v>15</v>
      </c>
      <c r="E110" s="283">
        <v>15</v>
      </c>
      <c r="F110" s="283">
        <v>15</v>
      </c>
      <c r="G110" s="283">
        <v>15</v>
      </c>
      <c r="H110" s="283">
        <v>15</v>
      </c>
      <c r="I110" s="283">
        <v>15</v>
      </c>
      <c r="J110" s="283">
        <v>15</v>
      </c>
      <c r="K110" s="283">
        <v>15</v>
      </c>
      <c r="L110" s="283">
        <v>15</v>
      </c>
      <c r="M110" s="283">
        <v>15</v>
      </c>
      <c r="N110" s="283">
        <v>15</v>
      </c>
      <c r="O110" s="98">
        <f t="shared" si="26"/>
        <v>180</v>
      </c>
      <c r="Q110" t="s">
        <v>1642</v>
      </c>
    </row>
    <row r="111" spans="1:17">
      <c r="A111" s="570" t="s">
        <v>1670</v>
      </c>
      <c r="C111" s="283">
        <v>145</v>
      </c>
      <c r="D111" s="283">
        <v>145</v>
      </c>
      <c r="E111" s="283">
        <v>145</v>
      </c>
      <c r="F111" s="283">
        <v>145</v>
      </c>
      <c r="G111" s="283">
        <v>145</v>
      </c>
      <c r="H111" s="283">
        <v>145</v>
      </c>
      <c r="I111" s="283">
        <v>145</v>
      </c>
      <c r="J111" s="283">
        <v>145</v>
      </c>
      <c r="K111" s="283">
        <v>145</v>
      </c>
      <c r="L111" s="283">
        <v>145</v>
      </c>
      <c r="M111" s="283">
        <v>145</v>
      </c>
      <c r="N111" s="283">
        <v>145</v>
      </c>
      <c r="O111" s="98">
        <f t="shared" si="26"/>
        <v>1740</v>
      </c>
      <c r="Q111" t="s">
        <v>1642</v>
      </c>
    </row>
    <row r="112" spans="1:17">
      <c r="A112" s="570" t="s">
        <v>1620</v>
      </c>
      <c r="C112" s="283">
        <v>104</v>
      </c>
      <c r="D112" s="283">
        <v>104</v>
      </c>
      <c r="E112" s="283">
        <v>104</v>
      </c>
      <c r="F112" s="283">
        <v>104</v>
      </c>
      <c r="G112" s="283">
        <v>104</v>
      </c>
      <c r="H112" s="283">
        <v>104</v>
      </c>
      <c r="I112" s="283">
        <v>104</v>
      </c>
      <c r="J112" s="283">
        <v>104</v>
      </c>
      <c r="K112" s="283">
        <v>104</v>
      </c>
      <c r="L112" s="283">
        <v>104</v>
      </c>
      <c r="M112" s="283">
        <v>104</v>
      </c>
      <c r="N112" s="283">
        <v>104</v>
      </c>
      <c r="O112" s="98">
        <f t="shared" si="26"/>
        <v>1248</v>
      </c>
      <c r="Q112" t="s">
        <v>1630</v>
      </c>
    </row>
    <row r="113" spans="1:19">
      <c r="A113" s="570" t="s">
        <v>1621</v>
      </c>
      <c r="C113" s="283">
        <v>0</v>
      </c>
      <c r="D113" s="283">
        <v>0</v>
      </c>
      <c r="E113" s="283">
        <v>0</v>
      </c>
      <c r="F113" s="283">
        <v>0</v>
      </c>
      <c r="G113" s="283">
        <v>0</v>
      </c>
      <c r="H113" s="283">
        <v>0</v>
      </c>
      <c r="I113" s="283">
        <v>0</v>
      </c>
      <c r="J113" s="283">
        <v>0</v>
      </c>
      <c r="K113" s="283">
        <v>0</v>
      </c>
      <c r="L113" s="283">
        <v>0</v>
      </c>
      <c r="M113" s="283">
        <v>0</v>
      </c>
      <c r="N113" s="283">
        <v>0</v>
      </c>
      <c r="O113" s="98">
        <f t="shared" si="26"/>
        <v>0</v>
      </c>
      <c r="Q113" t="s">
        <v>1674</v>
      </c>
    </row>
    <row r="114" spans="1:19">
      <c r="A114" s="570" t="s">
        <v>1765</v>
      </c>
      <c r="C114" s="283">
        <v>26</v>
      </c>
      <c r="D114" s="283">
        <v>26</v>
      </c>
      <c r="E114" s="283">
        <v>26</v>
      </c>
      <c r="F114" s="283">
        <v>26</v>
      </c>
      <c r="G114" s="283">
        <v>26</v>
      </c>
      <c r="H114" s="283">
        <v>26</v>
      </c>
      <c r="I114" s="283">
        <v>26</v>
      </c>
      <c r="J114" s="283">
        <v>26</v>
      </c>
      <c r="K114" s="283">
        <v>26</v>
      </c>
      <c r="L114" s="283">
        <v>26</v>
      </c>
      <c r="M114" s="283">
        <v>26</v>
      </c>
      <c r="N114" s="283">
        <v>26</v>
      </c>
      <c r="O114" s="98">
        <f t="shared" si="26"/>
        <v>312</v>
      </c>
      <c r="Q114" t="s">
        <v>1829</v>
      </c>
    </row>
    <row r="115" spans="1:19">
      <c r="A115" s="570" t="s">
        <v>1766</v>
      </c>
      <c r="C115" s="283">
        <v>184</v>
      </c>
      <c r="D115" s="283">
        <v>184</v>
      </c>
      <c r="E115" s="283">
        <v>184</v>
      </c>
      <c r="F115" s="283">
        <v>184</v>
      </c>
      <c r="G115" s="283">
        <v>184</v>
      </c>
      <c r="H115" s="283">
        <v>184</v>
      </c>
      <c r="I115" s="283">
        <v>184</v>
      </c>
      <c r="J115" s="283">
        <v>184</v>
      </c>
      <c r="K115" s="283">
        <v>184</v>
      </c>
      <c r="L115" s="283">
        <v>184</v>
      </c>
      <c r="M115" s="283">
        <v>184</v>
      </c>
      <c r="N115" s="283">
        <v>184</v>
      </c>
      <c r="O115" s="98">
        <f t="shared" si="26"/>
        <v>2208</v>
      </c>
      <c r="Q115" t="s">
        <v>1830</v>
      </c>
    </row>
    <row r="116" spans="1:19">
      <c r="A116" s="1"/>
      <c r="C116" s="131">
        <f>+SUM(C98:C115)</f>
        <v>1355</v>
      </c>
      <c r="D116" s="131">
        <f t="shared" ref="D116:N116" si="27">+SUM(D98:D115)</f>
        <v>1355</v>
      </c>
      <c r="E116" s="131">
        <f t="shared" si="27"/>
        <v>1355</v>
      </c>
      <c r="F116" s="131">
        <f t="shared" si="27"/>
        <v>1355</v>
      </c>
      <c r="G116" s="131">
        <f t="shared" si="27"/>
        <v>1355</v>
      </c>
      <c r="H116" s="131">
        <f t="shared" si="27"/>
        <v>1355</v>
      </c>
      <c r="I116" s="131">
        <f t="shared" si="27"/>
        <v>1355</v>
      </c>
      <c r="J116" s="131">
        <f t="shared" si="27"/>
        <v>1355</v>
      </c>
      <c r="K116" s="131">
        <f t="shared" si="27"/>
        <v>1355</v>
      </c>
      <c r="L116" s="131">
        <f t="shared" si="27"/>
        <v>1355</v>
      </c>
      <c r="M116" s="131">
        <f t="shared" si="27"/>
        <v>1355</v>
      </c>
      <c r="N116" s="131">
        <f t="shared" si="27"/>
        <v>1355</v>
      </c>
      <c r="O116" s="98"/>
    </row>
    <row r="117" spans="1:19">
      <c r="A117" s="579" t="s">
        <v>559</v>
      </c>
      <c r="O117" s="131"/>
      <c r="P117" s="304"/>
      <c r="Q117" s="304"/>
    </row>
    <row r="118" spans="1:19">
      <c r="A118" s="476"/>
      <c r="B118" s="476"/>
      <c r="C118" s="476"/>
      <c r="D118" s="476"/>
      <c r="E118" s="476"/>
      <c r="F118" s="476"/>
      <c r="G118" s="476"/>
      <c r="H118" s="476"/>
      <c r="I118" s="476"/>
      <c r="J118" s="476"/>
      <c r="K118" s="476"/>
      <c r="L118" s="476"/>
      <c r="M118" s="476"/>
      <c r="N118" s="476"/>
      <c r="O118" s="476"/>
      <c r="P118" s="476"/>
      <c r="Q118" s="476"/>
      <c r="R118" s="476"/>
    </row>
    <row r="119" spans="1:19">
      <c r="A119" s="476"/>
      <c r="B119" s="476"/>
      <c r="C119" s="476"/>
      <c r="D119" s="476"/>
      <c r="E119" s="476"/>
      <c r="F119" s="476"/>
      <c r="G119" s="476"/>
      <c r="H119" s="476"/>
      <c r="I119" s="476"/>
      <c r="J119" s="476"/>
      <c r="K119" s="476"/>
      <c r="L119" s="476"/>
      <c r="M119" s="476"/>
      <c r="N119" s="476"/>
      <c r="O119" s="476"/>
      <c r="P119" s="476"/>
      <c r="Q119" s="476"/>
      <c r="R119" s="476"/>
    </row>
    <row r="120" spans="1:19">
      <c r="A120" s="476"/>
      <c r="B120" s="476"/>
      <c r="C120" s="488"/>
      <c r="D120" s="488"/>
      <c r="E120" s="488"/>
      <c r="F120" s="488"/>
      <c r="G120" s="488"/>
      <c r="H120" s="488"/>
      <c r="I120" s="488"/>
      <c r="J120" s="488"/>
      <c r="K120" s="488"/>
      <c r="L120" s="488"/>
      <c r="M120" s="488"/>
      <c r="N120" s="488"/>
      <c r="O120" s="476"/>
      <c r="P120" s="476"/>
      <c r="Q120" s="476"/>
      <c r="R120" s="476"/>
      <c r="S120" s="312"/>
    </row>
    <row r="121" spans="1:19">
      <c r="A121" s="476"/>
      <c r="B121" s="571"/>
      <c r="C121" s="489"/>
      <c r="D121" s="489"/>
      <c r="E121" s="489"/>
      <c r="F121" s="489"/>
      <c r="G121" s="489"/>
      <c r="H121" s="489"/>
      <c r="I121" s="489"/>
      <c r="J121" s="489"/>
      <c r="K121" s="489"/>
      <c r="L121" s="489"/>
      <c r="M121" s="489"/>
      <c r="N121" s="489"/>
      <c r="O121" s="476"/>
      <c r="P121" s="476"/>
      <c r="Q121" s="476"/>
      <c r="R121" s="476"/>
    </row>
    <row r="122" spans="1:19">
      <c r="A122" s="476"/>
      <c r="B122" s="476"/>
      <c r="C122" s="476"/>
      <c r="D122" s="476"/>
      <c r="E122" s="476"/>
      <c r="F122" s="476"/>
      <c r="G122" s="476"/>
      <c r="H122" s="476"/>
      <c r="I122" s="476"/>
      <c r="J122" s="476"/>
      <c r="K122" s="476"/>
      <c r="L122" s="476"/>
      <c r="M122" s="476"/>
      <c r="N122" s="476"/>
      <c r="O122" s="476"/>
      <c r="P122" s="476"/>
      <c r="Q122" s="476"/>
      <c r="R122" s="476"/>
    </row>
    <row r="123" spans="1:19">
      <c r="A123" s="476"/>
      <c r="B123" s="476"/>
      <c r="C123" s="490"/>
      <c r="D123" s="490"/>
      <c r="E123" s="490"/>
      <c r="F123" s="490"/>
      <c r="G123" s="490"/>
      <c r="H123" s="490"/>
      <c r="I123" s="490"/>
      <c r="J123" s="491"/>
      <c r="K123" s="476"/>
      <c r="L123" s="476"/>
      <c r="M123" s="476"/>
      <c r="N123" s="476"/>
      <c r="O123" s="476"/>
      <c r="P123" s="476"/>
      <c r="Q123" s="476"/>
      <c r="R123" s="476"/>
    </row>
    <row r="124" spans="1:19">
      <c r="A124" s="492"/>
      <c r="B124" s="476"/>
      <c r="C124" s="493"/>
      <c r="D124" s="493"/>
      <c r="E124" s="493"/>
      <c r="F124" s="493"/>
      <c r="G124" s="493"/>
      <c r="H124" s="493"/>
      <c r="I124" s="493"/>
      <c r="J124" s="493"/>
      <c r="K124" s="476"/>
      <c r="L124" s="476"/>
      <c r="M124" s="476"/>
      <c r="N124" s="476"/>
      <c r="O124" s="476"/>
      <c r="P124" s="476"/>
      <c r="Q124" s="476"/>
      <c r="R124" s="476"/>
    </row>
    <row r="125" spans="1:19">
      <c r="A125" s="476"/>
      <c r="B125" s="476"/>
      <c r="C125" s="476"/>
      <c r="D125" s="476"/>
      <c r="E125" s="476"/>
      <c r="F125" s="476"/>
      <c r="G125" s="476"/>
      <c r="H125" s="476"/>
      <c r="I125" s="476"/>
      <c r="J125" s="476"/>
      <c r="K125" s="476"/>
      <c r="L125" s="476"/>
      <c r="M125" s="476"/>
      <c r="N125" s="476"/>
      <c r="O125" s="476"/>
      <c r="P125" s="476"/>
      <c r="Q125" s="476"/>
      <c r="R125" s="476"/>
    </row>
    <row r="126" spans="1:19">
      <c r="A126" s="476"/>
      <c r="B126" s="476"/>
      <c r="C126" s="476"/>
      <c r="D126" s="476"/>
      <c r="E126" s="476"/>
      <c r="F126" s="476"/>
      <c r="G126" s="476"/>
      <c r="H126" s="476"/>
      <c r="I126" s="476"/>
      <c r="J126" s="476"/>
      <c r="K126" s="476"/>
      <c r="L126" s="476"/>
      <c r="M126" s="476"/>
      <c r="N126" s="476"/>
      <c r="O126" s="476"/>
      <c r="P126" s="476"/>
      <c r="Q126" s="476"/>
      <c r="R126" s="476"/>
    </row>
    <row r="127" spans="1:19">
      <c r="A127" s="476"/>
      <c r="B127" s="476"/>
      <c r="C127" s="476"/>
      <c r="D127" s="476"/>
      <c r="E127" s="476"/>
      <c r="F127" s="476"/>
      <c r="G127" s="476"/>
      <c r="H127" s="476"/>
      <c r="I127" s="476"/>
      <c r="J127" s="476"/>
      <c r="K127" s="476"/>
      <c r="L127" s="476"/>
      <c r="M127" s="476"/>
      <c r="N127" s="476"/>
      <c r="O127" s="476"/>
      <c r="P127" s="476"/>
      <c r="Q127" s="476"/>
      <c r="R127" s="476"/>
    </row>
    <row r="128" spans="1:19">
      <c r="A128" s="476"/>
      <c r="B128" s="476"/>
      <c r="C128" s="476"/>
      <c r="D128" s="476"/>
      <c r="E128" s="476"/>
      <c r="F128" s="476"/>
      <c r="G128" s="476"/>
      <c r="H128" s="476"/>
      <c r="I128" s="476"/>
      <c r="J128" s="476"/>
      <c r="K128" s="476"/>
      <c r="L128" s="476"/>
      <c r="M128" s="476"/>
      <c r="N128" s="476"/>
      <c r="O128" s="476"/>
      <c r="P128" s="476"/>
      <c r="Q128" s="476"/>
      <c r="R128" s="476"/>
    </row>
    <row r="129" spans="1:18">
      <c r="A129" s="476"/>
      <c r="B129" s="476"/>
      <c r="C129" s="476"/>
      <c r="D129" s="476"/>
      <c r="E129" s="476"/>
      <c r="F129" s="476"/>
      <c r="G129" s="476"/>
      <c r="H129" s="476"/>
      <c r="I129" s="476"/>
      <c r="J129" s="476"/>
      <c r="K129" s="476"/>
      <c r="L129" s="476"/>
      <c r="M129" s="476"/>
      <c r="N129" s="476"/>
      <c r="O129" s="476"/>
      <c r="P129" s="476"/>
      <c r="Q129" s="476"/>
      <c r="R129" s="476"/>
    </row>
    <row r="130" spans="1:18">
      <c r="A130" s="476"/>
      <c r="B130" s="476"/>
      <c r="C130" s="476"/>
      <c r="D130" s="476"/>
      <c r="E130" s="476"/>
      <c r="F130" s="476"/>
      <c r="G130" s="476"/>
      <c r="H130" s="476"/>
      <c r="I130" s="476"/>
      <c r="J130" s="476"/>
      <c r="K130" s="476"/>
      <c r="L130" s="476"/>
      <c r="M130" s="476"/>
      <c r="N130" s="476"/>
      <c r="O130" s="476"/>
      <c r="P130" s="476"/>
      <c r="Q130" s="476"/>
      <c r="R130" s="476"/>
    </row>
  </sheetData>
  <mergeCells count="1">
    <mergeCell ref="B3:M3"/>
  </mergeCells>
  <pageMargins left="0.7" right="0.7" top="0.75" bottom="0.75" header="0.3" footer="0.3"/>
  <pageSetup scale="40" fitToHeight="0" orientation="landscape" r:id="rId1"/>
  <rowBreaks count="1" manualBreakCount="1">
    <brk id="79" max="1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36"/>
  <sheetViews>
    <sheetView workbookViewId="0">
      <selection activeCell="H22" sqref="H22"/>
    </sheetView>
  </sheetViews>
  <sheetFormatPr defaultColWidth="8.85546875" defaultRowHeight="15"/>
  <cols>
    <col min="1" max="1" width="51.42578125" customWidth="1"/>
    <col min="2" max="2" width="19.5703125" customWidth="1"/>
    <col min="3" max="3" width="28.28515625" customWidth="1"/>
    <col min="4" max="4" width="27.42578125" customWidth="1"/>
    <col min="5" max="5" width="17.28515625" customWidth="1"/>
    <col min="6" max="6" width="16.85546875" customWidth="1"/>
    <col min="7" max="7" width="21.42578125" bestFit="1" customWidth="1"/>
  </cols>
  <sheetData>
    <row r="1" spans="1:7">
      <c r="A1" s="1" t="s">
        <v>0</v>
      </c>
    </row>
    <row r="2" spans="1:7">
      <c r="A2" s="1" t="s">
        <v>858</v>
      </c>
      <c r="G2" s="71"/>
    </row>
    <row r="4" spans="1:7" ht="76.900000000000006" customHeight="1">
      <c r="C4" s="89" t="s">
        <v>546</v>
      </c>
      <c r="D4" s="89" t="s">
        <v>547</v>
      </c>
    </row>
    <row r="5" spans="1:7">
      <c r="A5" t="s">
        <v>548</v>
      </c>
      <c r="B5" s="71">
        <f>+C5*D5*1000</f>
        <v>8647981.3530129027</v>
      </c>
      <c r="C5" s="3">
        <f>+'Sch 17 - Trans Demand Allocator'!O28</f>
        <v>2404.9331963001032</v>
      </c>
      <c r="D5" s="121">
        <f>+G25</f>
        <v>3.5959341267015188</v>
      </c>
      <c r="E5" t="s">
        <v>887</v>
      </c>
      <c r="G5" s="312"/>
    </row>
    <row r="6" spans="1:7">
      <c r="B6" s="88"/>
      <c r="D6" s="125"/>
    </row>
    <row r="7" spans="1:7">
      <c r="A7" t="s">
        <v>549</v>
      </c>
      <c r="B7" s="110">
        <f>$F$25</f>
        <v>2655030</v>
      </c>
    </row>
    <row r="9" spans="1:7">
      <c r="A9" t="s">
        <v>550</v>
      </c>
      <c r="B9" s="100">
        <f>+B5-B7</f>
        <v>5992951.3530129027</v>
      </c>
      <c r="C9" t="s">
        <v>775</v>
      </c>
    </row>
    <row r="12" spans="1:7">
      <c r="A12" t="s">
        <v>551</v>
      </c>
      <c r="B12" s="86" t="s">
        <v>552</v>
      </c>
      <c r="C12" s="86" t="s">
        <v>553</v>
      </c>
      <c r="D12" t="s">
        <v>899</v>
      </c>
      <c r="E12" s="86" t="s">
        <v>554</v>
      </c>
      <c r="F12" s="86" t="s">
        <v>555</v>
      </c>
      <c r="G12" s="86" t="s">
        <v>900</v>
      </c>
    </row>
    <row r="13" spans="1:7">
      <c r="A13" s="486">
        <v>45292</v>
      </c>
      <c r="B13" s="251">
        <v>217210</v>
      </c>
      <c r="C13" s="124" t="s">
        <v>1739</v>
      </c>
      <c r="D13" s="287">
        <v>3.3403085394228489</v>
      </c>
      <c r="E13" s="97">
        <f>'Sch 17 - Trans Demand Allocator'!$C$28</f>
        <v>226.10483042137719</v>
      </c>
      <c r="F13" s="88">
        <f t="shared" ref="F13:F18" si="0">+B13</f>
        <v>217210</v>
      </c>
      <c r="G13" s="217">
        <f>+D13*(F13/$F$25)</f>
        <v>0.27327315241185107</v>
      </c>
    </row>
    <row r="14" spans="1:7">
      <c r="A14" s="486">
        <v>45323</v>
      </c>
      <c r="B14" s="251">
        <v>217210</v>
      </c>
      <c r="C14" s="124" t="s">
        <v>1739</v>
      </c>
      <c r="D14" s="287">
        <v>3.3403085394228489</v>
      </c>
      <c r="E14" s="97">
        <f>'Sch 17 - Trans Demand Allocator'!$D$28</f>
        <v>228.16032887975334</v>
      </c>
      <c r="F14" s="88">
        <f t="shared" si="0"/>
        <v>217210</v>
      </c>
      <c r="G14" s="217">
        <f t="shared" ref="G14:G24" si="1">+D14*(F14/$F$25)</f>
        <v>0.27327315241185107</v>
      </c>
    </row>
    <row r="15" spans="1:7">
      <c r="A15" s="486">
        <v>45352</v>
      </c>
      <c r="B15" s="251">
        <v>217210</v>
      </c>
      <c r="C15" s="124" t="s">
        <v>1739</v>
      </c>
      <c r="D15" s="287">
        <v>3.3403085394228489</v>
      </c>
      <c r="E15" s="97">
        <f>'Sch 17 - Trans Demand Allocator'!$E$28</f>
        <v>219.93833504624871</v>
      </c>
      <c r="F15" s="88">
        <f t="shared" si="0"/>
        <v>217210</v>
      </c>
      <c r="G15" s="217">
        <f>+D15*(F15/$F$25)</f>
        <v>0.27327315241185107</v>
      </c>
    </row>
    <row r="16" spans="1:7">
      <c r="A16" s="486">
        <v>45383</v>
      </c>
      <c r="B16" s="251">
        <v>184730</v>
      </c>
      <c r="C16" s="124" t="s">
        <v>1739</v>
      </c>
      <c r="D16" s="287">
        <v>3.3403085394228489</v>
      </c>
      <c r="E16" s="97">
        <f>'Sch 17 - Trans Demand Allocator'!$F$28</f>
        <v>189.10585817060638</v>
      </c>
      <c r="F16" s="88">
        <f t="shared" si="0"/>
        <v>184730</v>
      </c>
      <c r="G16" s="217">
        <f t="shared" si="1"/>
        <v>0.23240987728484533</v>
      </c>
    </row>
    <row r="17" spans="1:7">
      <c r="A17" s="486">
        <v>45413</v>
      </c>
      <c r="B17" s="251">
        <v>184730</v>
      </c>
      <c r="C17" s="124" t="s">
        <v>1739</v>
      </c>
      <c r="D17" s="287">
        <v>3.3403085394228489</v>
      </c>
      <c r="E17" s="97">
        <f>'Sch 17 - Trans Demand Allocator'!$G$28</f>
        <v>176.77286742034943</v>
      </c>
      <c r="F17" s="88">
        <f t="shared" si="0"/>
        <v>184730</v>
      </c>
      <c r="G17" s="217">
        <f t="shared" si="1"/>
        <v>0.23240987728484533</v>
      </c>
    </row>
    <row r="18" spans="1:7">
      <c r="A18" s="486">
        <v>45444</v>
      </c>
      <c r="B18" s="251">
        <v>217490</v>
      </c>
      <c r="C18" s="124" t="s">
        <v>1739</v>
      </c>
      <c r="D18" s="287">
        <v>3.7556809539499967</v>
      </c>
      <c r="E18" s="97">
        <f>'Sch 17 - Trans Demand Allocator'!$H$28</f>
        <v>176.77286742034943</v>
      </c>
      <c r="F18" s="88">
        <f t="shared" si="0"/>
        <v>217490</v>
      </c>
      <c r="G18" s="217">
        <f t="shared" si="1"/>
        <v>0.30765115673818555</v>
      </c>
    </row>
    <row r="19" spans="1:7">
      <c r="A19" s="486">
        <v>45474</v>
      </c>
      <c r="B19" s="251">
        <v>217490</v>
      </c>
      <c r="C19" s="124" t="s">
        <v>1739</v>
      </c>
      <c r="D19" s="287">
        <v>3.7556809539499967</v>
      </c>
      <c r="E19" s="97">
        <f>'Sch 17 - Trans Demand Allocator'!$I$28</f>
        <v>181.91161356628982</v>
      </c>
      <c r="F19" s="88">
        <f t="shared" ref="F19:F24" si="2">+B19</f>
        <v>217490</v>
      </c>
      <c r="G19" s="217">
        <f t="shared" si="1"/>
        <v>0.30765115673818555</v>
      </c>
    </row>
    <row r="20" spans="1:7">
      <c r="A20" s="486">
        <v>45505</v>
      </c>
      <c r="B20" s="251">
        <v>217490</v>
      </c>
      <c r="C20" s="124" t="s">
        <v>1739</v>
      </c>
      <c r="D20" s="287">
        <v>3.7556809539499967</v>
      </c>
      <c r="E20" s="97">
        <f>'Sch 17 - Trans Demand Allocator'!$J$28</f>
        <v>177.80061664953752</v>
      </c>
      <c r="F20" s="88">
        <f t="shared" si="2"/>
        <v>217490</v>
      </c>
      <c r="G20" s="217">
        <f t="shared" si="1"/>
        <v>0.30765115673818555</v>
      </c>
    </row>
    <row r="21" spans="1:7">
      <c r="A21" s="486">
        <v>45536</v>
      </c>
      <c r="B21" s="251">
        <v>217490</v>
      </c>
      <c r="C21" s="124" t="s">
        <v>1739</v>
      </c>
      <c r="D21" s="287">
        <v>3.7556809539499967</v>
      </c>
      <c r="E21" s="97">
        <f>'Sch 17 - Trans Demand Allocator'!$K$28</f>
        <v>179.85611510791367</v>
      </c>
      <c r="F21" s="88">
        <f t="shared" si="2"/>
        <v>217490</v>
      </c>
      <c r="G21" s="217">
        <f t="shared" si="1"/>
        <v>0.30765115673818555</v>
      </c>
    </row>
    <row r="22" spans="1:7">
      <c r="A22" s="486">
        <v>45566</v>
      </c>
      <c r="B22" s="251">
        <v>254660</v>
      </c>
      <c r="C22" s="124" t="s">
        <v>1739</v>
      </c>
      <c r="D22" s="287">
        <v>3.7556809539499967</v>
      </c>
      <c r="E22" s="97">
        <f>'Sch 17 - Trans Demand Allocator'!$L$28</f>
        <v>214.79958890030832</v>
      </c>
      <c r="F22" s="88">
        <f t="shared" si="2"/>
        <v>254660</v>
      </c>
      <c r="G22" s="217">
        <f t="shared" si="1"/>
        <v>0.36023009598117772</v>
      </c>
    </row>
    <row r="23" spans="1:7">
      <c r="A23" s="486">
        <v>45597</v>
      </c>
      <c r="B23" s="251">
        <v>254660</v>
      </c>
      <c r="C23" s="124" t="s">
        <v>1739</v>
      </c>
      <c r="D23" s="287">
        <v>3.7556809539499967</v>
      </c>
      <c r="E23" s="97">
        <f>'Sch 17 - Trans Demand Allocator'!$M$28</f>
        <v>216.8550873586845</v>
      </c>
      <c r="F23" s="88">
        <f t="shared" si="2"/>
        <v>254660</v>
      </c>
      <c r="G23" s="217">
        <f t="shared" si="1"/>
        <v>0.36023009598117772</v>
      </c>
    </row>
    <row r="24" spans="1:7">
      <c r="A24" s="486">
        <v>45627</v>
      </c>
      <c r="B24" s="251">
        <v>254660</v>
      </c>
      <c r="C24" s="124" t="s">
        <v>1739</v>
      </c>
      <c r="D24" s="287">
        <v>3.7556809539499967</v>
      </c>
      <c r="E24" s="112">
        <f>'Sch 17 - Trans Demand Allocator'!$N$28</f>
        <v>216.8550873586845</v>
      </c>
      <c r="F24" s="113">
        <f t="shared" si="2"/>
        <v>254660</v>
      </c>
      <c r="G24" s="217">
        <f t="shared" si="1"/>
        <v>0.36023009598117772</v>
      </c>
    </row>
    <row r="25" spans="1:7">
      <c r="B25" s="71">
        <f>SUM(B13:B24)</f>
        <v>2655030</v>
      </c>
      <c r="C25" s="71">
        <f>SUM(C13:C24)</f>
        <v>0</v>
      </c>
      <c r="E25" s="97">
        <f>SUM(E13:E24)</f>
        <v>2404.9331963001032</v>
      </c>
      <c r="F25" s="88">
        <f>SUM(F13:F24)</f>
        <v>2655030</v>
      </c>
      <c r="G25" s="90">
        <f>SUM(G13:G24)</f>
        <v>3.5959341267015188</v>
      </c>
    </row>
    <row r="26" spans="1:7">
      <c r="C26" s="87"/>
    </row>
    <row r="27" spans="1:7">
      <c r="A27" s="200" t="s">
        <v>1730</v>
      </c>
      <c r="B27" s="90">
        <f>D13</f>
        <v>3.3403085394228489</v>
      </c>
      <c r="C27" s="90">
        <f>D18</f>
        <v>3.7556809539499967</v>
      </c>
    </row>
    <row r="28" spans="1:7">
      <c r="A28" t="s">
        <v>556</v>
      </c>
      <c r="B28" s="90">
        <f>ROUND((+(B27*0.15)*-1),2)</f>
        <v>-0.5</v>
      </c>
      <c r="C28" s="90">
        <f>ROUND((+(C27*0.15)*-1),2)</f>
        <v>-0.56000000000000005</v>
      </c>
    </row>
    <row r="29" spans="1:7">
      <c r="A29" t="s">
        <v>557</v>
      </c>
      <c r="B29" s="90">
        <f>+B27+B28</f>
        <v>2.8403085394228489</v>
      </c>
      <c r="C29" s="90">
        <f>+C27+C28</f>
        <v>3.1956809539499966</v>
      </c>
    </row>
    <row r="30" spans="1:7">
      <c r="A30" s="200" t="s">
        <v>1731</v>
      </c>
      <c r="B30" s="287">
        <v>-0.81</v>
      </c>
      <c r="C30" s="287">
        <v>-0.81</v>
      </c>
    </row>
    <row r="31" spans="1:7">
      <c r="A31" t="s">
        <v>558</v>
      </c>
      <c r="B31" s="90">
        <f>+B29+B30</f>
        <v>2.0303085394228488</v>
      </c>
      <c r="C31" s="90">
        <f>+C29+C30</f>
        <v>2.3856809539499966</v>
      </c>
      <c r="D31" s="90"/>
    </row>
    <row r="33" spans="1:4">
      <c r="A33" t="s">
        <v>559</v>
      </c>
    </row>
    <row r="34" spans="1:4">
      <c r="A34" s="200" t="s">
        <v>1823</v>
      </c>
    </row>
    <row r="35" spans="1:4">
      <c r="A35" s="200" t="s">
        <v>1732</v>
      </c>
      <c r="D35" s="312"/>
    </row>
    <row r="36" spans="1:4">
      <c r="A36" s="200" t="s">
        <v>1733</v>
      </c>
    </row>
  </sheetData>
  <pageMargins left="0.7" right="0.7" top="0.75" bottom="0.75" header="0.3" footer="0.3"/>
  <pageSetup scale="6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5"/>
  <sheetViews>
    <sheetView workbookViewId="0">
      <selection activeCell="H22" sqref="H22"/>
    </sheetView>
  </sheetViews>
  <sheetFormatPr defaultRowHeight="15"/>
  <cols>
    <col min="1" max="1" width="43" customWidth="1"/>
    <col min="2" max="2" width="34.7109375" bestFit="1" customWidth="1"/>
    <col min="3" max="3" width="45.7109375" bestFit="1" customWidth="1"/>
    <col min="4" max="4" width="14.28515625" bestFit="1" customWidth="1"/>
    <col min="5" max="5" width="16" bestFit="1" customWidth="1"/>
    <col min="6" max="6" width="19.28515625" customWidth="1"/>
    <col min="7" max="7" width="16" bestFit="1" customWidth="1"/>
    <col min="8" max="8" width="10.85546875" customWidth="1"/>
    <col min="9" max="9" width="10.140625" bestFit="1" customWidth="1"/>
    <col min="12" max="12" width="10.85546875" customWidth="1"/>
  </cols>
  <sheetData>
    <row r="1" spans="1:7">
      <c r="A1" s="1" t="s">
        <v>0</v>
      </c>
    </row>
    <row r="2" spans="1:7">
      <c r="A2" s="1" t="s">
        <v>857</v>
      </c>
    </row>
    <row r="3" spans="1:7" ht="45">
      <c r="A3" s="596"/>
      <c r="B3" s="596"/>
      <c r="C3" s="596"/>
      <c r="D3" s="596"/>
      <c r="E3" s="206" t="s">
        <v>1380</v>
      </c>
      <c r="F3" s="206" t="s">
        <v>1381</v>
      </c>
      <c r="G3" s="86" t="s">
        <v>55</v>
      </c>
    </row>
    <row r="4" spans="1:7">
      <c r="B4" s="1" t="s">
        <v>455</v>
      </c>
      <c r="C4" s="1" t="s">
        <v>11</v>
      </c>
      <c r="D4" s="122"/>
      <c r="E4" s="86" t="s">
        <v>456</v>
      </c>
      <c r="F4" s="86" t="s">
        <v>456</v>
      </c>
      <c r="G4" s="86" t="s">
        <v>456</v>
      </c>
    </row>
    <row r="5" spans="1:7">
      <c r="A5" t="s">
        <v>457</v>
      </c>
      <c r="E5" s="86" t="s">
        <v>458</v>
      </c>
      <c r="F5" s="86" t="s">
        <v>458</v>
      </c>
      <c r="G5" s="86" t="s">
        <v>458</v>
      </c>
    </row>
    <row r="6" spans="1:7">
      <c r="A6" t="s">
        <v>459</v>
      </c>
      <c r="B6" s="100" t="s">
        <v>1381</v>
      </c>
      <c r="C6" t="s">
        <v>1442</v>
      </c>
      <c r="D6" s="251">
        <v>1415030</v>
      </c>
      <c r="E6" s="518">
        <v>0</v>
      </c>
      <c r="F6" s="100">
        <f>+D6*'Sch 20 - Gen Demand Allocator'!$O$17</f>
        <v>0</v>
      </c>
      <c r="G6" s="88">
        <f>SUM(E6:F6)</f>
        <v>0</v>
      </c>
    </row>
    <row r="7" spans="1:7">
      <c r="A7" t="s">
        <v>460</v>
      </c>
      <c r="B7" s="100" t="s">
        <v>1381</v>
      </c>
      <c r="C7" t="s">
        <v>1740</v>
      </c>
      <c r="D7" s="251">
        <v>382967</v>
      </c>
      <c r="E7" s="518">
        <v>0</v>
      </c>
      <c r="F7" s="100">
        <f>+D7*'Sch 20 - Gen Demand Allocator'!$O$17</f>
        <v>0</v>
      </c>
      <c r="G7" s="88">
        <f>SUM(E7:F7)</f>
        <v>0</v>
      </c>
    </row>
    <row r="8" spans="1:7">
      <c r="D8" s="71"/>
      <c r="E8" s="496"/>
    </row>
    <row r="9" spans="1:7">
      <c r="A9" t="s">
        <v>461</v>
      </c>
      <c r="D9" s="71"/>
      <c r="E9" s="496"/>
    </row>
    <row r="10" spans="1:7">
      <c r="A10" t="s">
        <v>560</v>
      </c>
      <c r="B10" s="100" t="s">
        <v>1381</v>
      </c>
      <c r="C10" t="s">
        <v>721</v>
      </c>
      <c r="D10" s="71">
        <f>+'Sch 18 - Imputed WAPA Trans Exp'!B9</f>
        <v>5992951.3530129027</v>
      </c>
      <c r="E10" s="518">
        <v>0</v>
      </c>
      <c r="F10" s="100">
        <f>+D10*'Sch 20 - Gen Demand Allocator'!$O$17</f>
        <v>0</v>
      </c>
      <c r="G10" s="88">
        <f>SUM(E10:F10)</f>
        <v>0</v>
      </c>
    </row>
    <row r="12" spans="1:7">
      <c r="A12" t="s">
        <v>442</v>
      </c>
    </row>
    <row r="13" spans="1:7">
      <c r="A13" t="s">
        <v>462</v>
      </c>
      <c r="B13" t="s">
        <v>463</v>
      </c>
      <c r="C13" t="s">
        <v>1799</v>
      </c>
      <c r="D13" s="251">
        <v>648699</v>
      </c>
      <c r="E13" s="518">
        <v>0</v>
      </c>
      <c r="F13" s="518">
        <v>0</v>
      </c>
      <c r="G13" s="88">
        <f>SUM(E13:F13)</f>
        <v>0</v>
      </c>
    </row>
    <row r="14" spans="1:7">
      <c r="A14" t="s">
        <v>464</v>
      </c>
      <c r="B14" s="100" t="s">
        <v>1381</v>
      </c>
      <c r="C14" t="s">
        <v>1742</v>
      </c>
      <c r="D14" s="251">
        <v>2670444</v>
      </c>
      <c r="E14" s="518">
        <v>0</v>
      </c>
      <c r="F14" s="100">
        <f>+D14*'Sch 20 - Gen Demand Allocator'!$O$17</f>
        <v>0</v>
      </c>
      <c r="G14" s="88">
        <f>SUM(E14:F14)</f>
        <v>0</v>
      </c>
    </row>
    <row r="15" spans="1:7">
      <c r="A15" t="s">
        <v>465</v>
      </c>
      <c r="B15" s="100" t="s">
        <v>1381</v>
      </c>
      <c r="C15" t="s">
        <v>1741</v>
      </c>
      <c r="D15" s="251">
        <v>778439</v>
      </c>
      <c r="E15" s="518">
        <v>0</v>
      </c>
      <c r="F15" s="100">
        <f>+D15*'Sch 20 - Gen Demand Allocator'!$O$17</f>
        <v>0</v>
      </c>
      <c r="G15" s="88">
        <f>SUM(E15:F15)</f>
        <v>0</v>
      </c>
    </row>
    <row r="16" spans="1:7">
      <c r="A16" t="s">
        <v>1800</v>
      </c>
      <c r="B16" s="100" t="s">
        <v>1380</v>
      </c>
      <c r="C16" t="s">
        <v>1443</v>
      </c>
      <c r="D16" s="251">
        <v>1422223</v>
      </c>
      <c r="E16" s="100">
        <f>+D16*'Sch 20 - Gen Demand Allocator'!$O$16</f>
        <v>0</v>
      </c>
      <c r="F16" s="518">
        <v>0</v>
      </c>
      <c r="G16" s="88">
        <f>SUM(E16:F16)</f>
        <v>0</v>
      </c>
    </row>
    <row r="17" spans="1:14">
      <c r="A17" t="s">
        <v>776</v>
      </c>
      <c r="B17" s="100" t="s">
        <v>1380</v>
      </c>
      <c r="C17" t="s">
        <v>1801</v>
      </c>
      <c r="D17" s="251">
        <v>1555559</v>
      </c>
      <c r="E17" s="100">
        <f>+D17*'Sch 20 - Gen Demand Allocator'!$O$16</f>
        <v>0</v>
      </c>
      <c r="F17" s="518">
        <v>0</v>
      </c>
      <c r="G17" s="88">
        <f>SUM(E17:F17)</f>
        <v>0</v>
      </c>
    </row>
    <row r="19" spans="1:14">
      <c r="A19" t="s">
        <v>466</v>
      </c>
    </row>
    <row r="20" spans="1:14">
      <c r="A20" t="s">
        <v>467</v>
      </c>
      <c r="B20" t="s">
        <v>468</v>
      </c>
      <c r="C20" t="s">
        <v>1802</v>
      </c>
      <c r="D20" s="251">
        <v>-137252</v>
      </c>
      <c r="E20" s="496">
        <v>0</v>
      </c>
      <c r="F20" s="496">
        <v>0</v>
      </c>
      <c r="G20" s="88">
        <f>SUM(E20:F20)</f>
        <v>0</v>
      </c>
    </row>
    <row r="22" spans="1:14">
      <c r="A22" t="s">
        <v>469</v>
      </c>
    </row>
    <row r="23" spans="1:14">
      <c r="A23" t="s">
        <v>470</v>
      </c>
      <c r="B23" t="s">
        <v>468</v>
      </c>
      <c r="E23" s="496">
        <v>0</v>
      </c>
      <c r="F23" s="496">
        <v>0</v>
      </c>
      <c r="G23" s="88">
        <f>SUM(E23:F23)</f>
        <v>0</v>
      </c>
    </row>
    <row r="24" spans="1:14">
      <c r="A24" t="s">
        <v>471</v>
      </c>
      <c r="B24" t="s">
        <v>472</v>
      </c>
      <c r="E24" s="497">
        <v>0</v>
      </c>
      <c r="F24" s="497">
        <v>0</v>
      </c>
      <c r="G24" s="88">
        <f>SUM(E24:F24)</f>
        <v>0</v>
      </c>
    </row>
    <row r="26" spans="1:14" ht="15.75" thickBot="1">
      <c r="A26" t="s">
        <v>473</v>
      </c>
      <c r="E26" s="207">
        <f>SUM(E6:E24)</f>
        <v>0</v>
      </c>
      <c r="F26" s="207">
        <f>SUM(F6:F24)</f>
        <v>0</v>
      </c>
      <c r="G26" s="207">
        <f>SUM(G6:G24)</f>
        <v>0</v>
      </c>
    </row>
    <row r="27" spans="1:14" ht="15.75" thickTop="1"/>
    <row r="28" spans="1:14">
      <c r="B28" t="s">
        <v>848</v>
      </c>
    </row>
    <row r="29" spans="1:14">
      <c r="E29" t="s">
        <v>1380</v>
      </c>
      <c r="H29" t="s">
        <v>1381</v>
      </c>
      <c r="L29" t="s">
        <v>55</v>
      </c>
    </row>
    <row r="30" spans="1:14">
      <c r="F30" s="93" t="s">
        <v>632</v>
      </c>
      <c r="G30" t="s">
        <v>795</v>
      </c>
      <c r="I30" s="93" t="s">
        <v>632</v>
      </c>
      <c r="J30" t="s">
        <v>795</v>
      </c>
    </row>
    <row r="31" spans="1:14">
      <c r="B31" t="s">
        <v>792</v>
      </c>
      <c r="E31" s="100">
        <f>+$E$26*G31</f>
        <v>0</v>
      </c>
      <c r="F31" s="199">
        <f>+'Sch 17 - Trans Demand Allocator'!O17</f>
        <v>301.83144912641313</v>
      </c>
      <c r="G31" s="516">
        <f>+F31/$F$35</f>
        <v>0.88403847022170046</v>
      </c>
      <c r="H31" s="100">
        <f>+J31*$F$26</f>
        <v>0</v>
      </c>
      <c r="I31" s="199">
        <f>+'Sch 17 - Trans Demand Allocator'!O17</f>
        <v>301.83144912641313</v>
      </c>
      <c r="J31" s="589">
        <f>+I31/$I$35</f>
        <v>0.88403847022170046</v>
      </c>
      <c r="L31" s="88">
        <f>+E31+H31</f>
        <v>0</v>
      </c>
      <c r="N31" s="312"/>
    </row>
    <row r="32" spans="1:14">
      <c r="B32" t="s">
        <v>793</v>
      </c>
      <c r="E32" s="100">
        <f>+$E$26*G32</f>
        <v>0</v>
      </c>
      <c r="F32" s="199">
        <f>+'Sch 17 - Trans Demand Allocator'!O18</f>
        <v>0</v>
      </c>
      <c r="G32" s="517">
        <f>+F32/$F$35</f>
        <v>0</v>
      </c>
      <c r="H32" s="100">
        <f>+J32*$F$26</f>
        <v>0</v>
      </c>
      <c r="I32" s="199">
        <f>+'Sch 17 - Trans Demand Allocator'!O18</f>
        <v>0</v>
      </c>
      <c r="J32" s="517">
        <f>+I32/$I$35</f>
        <v>0</v>
      </c>
      <c r="L32" s="88">
        <f>+E32+H32</f>
        <v>0</v>
      </c>
      <c r="N32" s="312"/>
    </row>
    <row r="33" spans="2:14">
      <c r="B33" s="70" t="s">
        <v>794</v>
      </c>
      <c r="E33" s="100">
        <f>+$E$26*G33</f>
        <v>0</v>
      </c>
      <c r="F33" s="199">
        <f>+'Sch 17 - Trans Demand Allocator'!O19</f>
        <v>0</v>
      </c>
      <c r="G33" s="517">
        <f>+F33/$F$35</f>
        <v>0</v>
      </c>
      <c r="H33" s="100">
        <f>+J33*$F$26</f>
        <v>0</v>
      </c>
      <c r="I33" s="199">
        <f>+'Sch 17 - Trans Demand Allocator'!O19</f>
        <v>0</v>
      </c>
      <c r="J33" s="517">
        <f>+I33/$I$35</f>
        <v>0</v>
      </c>
      <c r="L33" s="88">
        <f>+E33+H33</f>
        <v>0</v>
      </c>
      <c r="N33" s="312"/>
    </row>
    <row r="34" spans="2:14">
      <c r="B34" s="70" t="s">
        <v>1411</v>
      </c>
      <c r="E34" s="100">
        <f>+$E$26*G34</f>
        <v>0</v>
      </c>
      <c r="F34" s="199">
        <f>+'Sch 17 - Trans Demand Allocator'!O21</f>
        <v>39.591983556012337</v>
      </c>
      <c r="G34" s="517">
        <f>+F34/$F$35</f>
        <v>0.11596152977829956</v>
      </c>
      <c r="H34" s="100">
        <f>+J34*$F$26</f>
        <v>0</v>
      </c>
      <c r="I34" s="199">
        <f>+'Sch 17 - Trans Demand Allocator'!O21</f>
        <v>39.591983556012337</v>
      </c>
      <c r="J34" s="517">
        <f>+I34/$I$35</f>
        <v>0.11596152977829956</v>
      </c>
      <c r="L34" s="88">
        <f>+E34+H34</f>
        <v>0</v>
      </c>
      <c r="N34" s="312"/>
    </row>
    <row r="35" spans="2:14">
      <c r="B35" s="200" t="s">
        <v>55</v>
      </c>
      <c r="E35" s="100">
        <f>SUM(E31:E34)</f>
        <v>0</v>
      </c>
      <c r="F35" s="72">
        <f>SUM(F31:F34)</f>
        <v>341.42343268242547</v>
      </c>
      <c r="G35" s="517">
        <f>+F35/$F$35</f>
        <v>1</v>
      </c>
      <c r="H35" s="100">
        <f>SUM(H31:H34)</f>
        <v>0</v>
      </c>
      <c r="I35" s="303">
        <f>SUM(I31:I34)</f>
        <v>341.42343268242547</v>
      </c>
      <c r="J35" s="517">
        <f>+I35/$I$35</f>
        <v>1</v>
      </c>
      <c r="L35" s="88">
        <f>+E35+H35</f>
        <v>0</v>
      </c>
      <c r="N35" s="312"/>
    </row>
  </sheetData>
  <mergeCells count="1">
    <mergeCell ref="A3:D3"/>
  </mergeCells>
  <pageMargins left="0.7" right="0.7" top="0.75" bottom="0.75" header="0.3" footer="0.3"/>
  <pageSetup scale="5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47"/>
  <sheetViews>
    <sheetView workbookViewId="0">
      <selection activeCell="G20" sqref="G20"/>
    </sheetView>
  </sheetViews>
  <sheetFormatPr defaultColWidth="9.140625" defaultRowHeight="15"/>
  <cols>
    <col min="1" max="1" width="48.85546875" bestFit="1" customWidth="1"/>
    <col min="2" max="2" width="16.5703125" bestFit="1" customWidth="1"/>
    <col min="3" max="3" width="14.42578125" bestFit="1" customWidth="1"/>
    <col min="4" max="8" width="14.85546875" bestFit="1" customWidth="1"/>
    <col min="9" max="9" width="14.42578125" bestFit="1" customWidth="1"/>
    <col min="10" max="11" width="14.85546875" bestFit="1" customWidth="1"/>
    <col min="12" max="13" width="15.7109375" bestFit="1" customWidth="1"/>
    <col min="14" max="14" width="10.140625" customWidth="1"/>
    <col min="15" max="15" width="12" bestFit="1" customWidth="1"/>
    <col min="16" max="16" width="19" customWidth="1"/>
    <col min="17" max="17" width="37.5703125" customWidth="1"/>
  </cols>
  <sheetData>
    <row r="1" spans="1:18">
      <c r="A1" s="1" t="s">
        <v>0</v>
      </c>
    </row>
    <row r="2" spans="1:18">
      <c r="A2" s="1" t="s">
        <v>856</v>
      </c>
    </row>
    <row r="3" spans="1:18" ht="93" customHeight="1">
      <c r="B3" s="596"/>
      <c r="C3" s="596"/>
      <c r="D3" s="596"/>
      <c r="E3" s="596"/>
      <c r="F3" s="596"/>
      <c r="G3" s="596"/>
      <c r="H3" s="596"/>
      <c r="I3" s="596"/>
      <c r="J3" s="596"/>
      <c r="K3" s="596"/>
      <c r="L3" s="596"/>
      <c r="M3" s="596"/>
    </row>
    <row r="4" spans="1:18">
      <c r="B4" s="4" t="s">
        <v>422</v>
      </c>
      <c r="C4" s="4" t="s">
        <v>423</v>
      </c>
      <c r="D4" s="4" t="s">
        <v>16</v>
      </c>
      <c r="E4" s="4" t="s">
        <v>17</v>
      </c>
      <c r="F4" s="4" t="s">
        <v>18</v>
      </c>
      <c r="G4" s="4" t="s">
        <v>19</v>
      </c>
      <c r="H4" s="4" t="s">
        <v>20</v>
      </c>
      <c r="I4" s="4" t="s">
        <v>21</v>
      </c>
      <c r="J4" s="4" t="s">
        <v>424</v>
      </c>
      <c r="K4" s="4" t="s">
        <v>425</v>
      </c>
      <c r="L4" s="4" t="s">
        <v>426</v>
      </c>
      <c r="M4" s="4" t="s">
        <v>427</v>
      </c>
      <c r="N4" s="4" t="s">
        <v>55</v>
      </c>
      <c r="O4" s="4" t="s">
        <v>281</v>
      </c>
      <c r="P4" s="4" t="s">
        <v>11</v>
      </c>
    </row>
    <row r="5" spans="1:18">
      <c r="A5" s="200" t="s">
        <v>1734</v>
      </c>
      <c r="B5" s="580">
        <v>45302</v>
      </c>
      <c r="C5" s="580">
        <v>45329</v>
      </c>
      <c r="D5" s="580">
        <v>45375</v>
      </c>
      <c r="E5" s="580">
        <v>45383</v>
      </c>
      <c r="F5" s="580">
        <v>45440</v>
      </c>
      <c r="G5" s="580">
        <v>45469</v>
      </c>
      <c r="H5" s="580">
        <v>45504</v>
      </c>
      <c r="I5" s="580">
        <v>45524</v>
      </c>
      <c r="J5" s="580">
        <v>45547</v>
      </c>
      <c r="K5" s="580">
        <v>45568</v>
      </c>
      <c r="L5" s="580">
        <v>45602</v>
      </c>
      <c r="M5" s="580">
        <v>45637</v>
      </c>
    </row>
    <row r="6" spans="1:18">
      <c r="A6" s="200" t="s">
        <v>1735</v>
      </c>
      <c r="B6" s="588" t="s">
        <v>1795</v>
      </c>
      <c r="C6" s="588" t="s">
        <v>1796</v>
      </c>
      <c r="D6" s="588" t="s">
        <v>1795</v>
      </c>
      <c r="E6" s="588" t="s">
        <v>1795</v>
      </c>
      <c r="F6" s="588" t="s">
        <v>1797</v>
      </c>
      <c r="G6" s="588" t="s">
        <v>1798</v>
      </c>
      <c r="H6" s="588" t="s">
        <v>1797</v>
      </c>
      <c r="I6" s="588" t="s">
        <v>1797</v>
      </c>
      <c r="J6" s="588" t="s">
        <v>1798</v>
      </c>
      <c r="K6" s="588" t="s">
        <v>1798</v>
      </c>
      <c r="L6" s="588" t="s">
        <v>1797</v>
      </c>
      <c r="M6" s="588" t="s">
        <v>1796</v>
      </c>
    </row>
    <row r="8" spans="1:18">
      <c r="A8" t="s">
        <v>474</v>
      </c>
      <c r="B8" s="293">
        <v>1576000</v>
      </c>
      <c r="C8" s="293">
        <v>1415000</v>
      </c>
      <c r="D8" s="293">
        <v>1351000</v>
      </c>
      <c r="E8" s="293">
        <v>1348000</v>
      </c>
      <c r="F8" s="293">
        <v>1658000</v>
      </c>
      <c r="G8" s="293">
        <v>2016000</v>
      </c>
      <c r="H8" s="293">
        <v>2051000</v>
      </c>
      <c r="I8" s="293">
        <v>2147000</v>
      </c>
      <c r="J8" s="293">
        <v>1817000</v>
      </c>
      <c r="K8" s="293">
        <v>1643000</v>
      </c>
      <c r="L8" s="293">
        <v>1466000</v>
      </c>
      <c r="M8" s="293">
        <v>1539000</v>
      </c>
      <c r="N8" s="72"/>
      <c r="O8" s="3">
        <f>AVERAGE(B8:M8)</f>
        <v>1668916.6666666667</v>
      </c>
      <c r="P8" t="s">
        <v>475</v>
      </c>
    </row>
    <row r="10" spans="1:18">
      <c r="A10" t="s">
        <v>476</v>
      </c>
      <c r="B10" s="348">
        <v>0</v>
      </c>
      <c r="C10" s="348">
        <v>0</v>
      </c>
      <c r="D10" s="348">
        <v>0</v>
      </c>
      <c r="E10" s="348">
        <v>0</v>
      </c>
      <c r="F10" s="348">
        <v>0</v>
      </c>
      <c r="G10" s="348">
        <v>0</v>
      </c>
      <c r="H10" s="348">
        <v>0</v>
      </c>
      <c r="I10" s="348">
        <v>0</v>
      </c>
      <c r="J10" s="348">
        <v>0</v>
      </c>
      <c r="K10" s="348">
        <v>0</v>
      </c>
      <c r="L10" s="348">
        <v>0</v>
      </c>
      <c r="M10" s="348">
        <v>0</v>
      </c>
      <c r="O10" s="98">
        <f>+AVERAGE(B10:M10)</f>
        <v>0</v>
      </c>
    </row>
    <row r="11" spans="1:18">
      <c r="A11" t="s">
        <v>1168</v>
      </c>
      <c r="B11" s="348">
        <v>0</v>
      </c>
      <c r="C11" s="348">
        <v>0</v>
      </c>
      <c r="D11" s="348">
        <v>0</v>
      </c>
      <c r="E11" s="348">
        <v>0</v>
      </c>
      <c r="F11" s="348">
        <v>0</v>
      </c>
      <c r="G11" s="348">
        <v>0</v>
      </c>
      <c r="H11" s="348">
        <v>0</v>
      </c>
      <c r="I11" s="348">
        <v>0</v>
      </c>
      <c r="J11" s="348">
        <v>0</v>
      </c>
      <c r="K11" s="348">
        <v>0</v>
      </c>
      <c r="L11" s="348">
        <v>0</v>
      </c>
      <c r="M11" s="348">
        <v>0</v>
      </c>
      <c r="O11" s="3">
        <f>+AVERAGE(B11:M11)</f>
        <v>0</v>
      </c>
    </row>
    <row r="12" spans="1:18">
      <c r="A12" t="s">
        <v>477</v>
      </c>
      <c r="B12" s="348">
        <f>+B37</f>
        <v>0</v>
      </c>
      <c r="C12" s="348">
        <f t="shared" ref="C12:L12" si="0">+C37</f>
        <v>0</v>
      </c>
      <c r="D12" s="348">
        <f t="shared" si="0"/>
        <v>0</v>
      </c>
      <c r="E12" s="348">
        <f t="shared" si="0"/>
        <v>0</v>
      </c>
      <c r="F12" s="348">
        <f t="shared" si="0"/>
        <v>0</v>
      </c>
      <c r="G12" s="348">
        <f t="shared" si="0"/>
        <v>0</v>
      </c>
      <c r="H12" s="348">
        <f t="shared" si="0"/>
        <v>0</v>
      </c>
      <c r="I12" s="348">
        <f t="shared" si="0"/>
        <v>0</v>
      </c>
      <c r="J12" s="348">
        <f t="shared" si="0"/>
        <v>0</v>
      </c>
      <c r="K12" s="348">
        <f t="shared" si="0"/>
        <v>0</v>
      </c>
      <c r="L12" s="348">
        <f t="shared" si="0"/>
        <v>0</v>
      </c>
      <c r="M12" s="348">
        <f>+M37</f>
        <v>0</v>
      </c>
      <c r="O12" s="98">
        <f>+AVERAGE(B12:M12)</f>
        <v>0</v>
      </c>
    </row>
    <row r="13" spans="1:18">
      <c r="A13" t="s">
        <v>1390</v>
      </c>
      <c r="B13" s="348">
        <f>+B42</f>
        <v>0</v>
      </c>
      <c r="C13" s="348">
        <f t="shared" ref="C13:M13" si="1">+C42</f>
        <v>0</v>
      </c>
      <c r="D13" s="348">
        <f t="shared" si="1"/>
        <v>0</v>
      </c>
      <c r="E13" s="348">
        <f t="shared" si="1"/>
        <v>0</v>
      </c>
      <c r="F13" s="348">
        <f t="shared" si="1"/>
        <v>0</v>
      </c>
      <c r="G13" s="348">
        <f t="shared" si="1"/>
        <v>0</v>
      </c>
      <c r="H13" s="348">
        <f t="shared" si="1"/>
        <v>0</v>
      </c>
      <c r="I13" s="348">
        <f t="shared" si="1"/>
        <v>0</v>
      </c>
      <c r="J13" s="348">
        <f t="shared" si="1"/>
        <v>0</v>
      </c>
      <c r="K13" s="348">
        <f t="shared" si="1"/>
        <v>0</v>
      </c>
      <c r="L13" s="348">
        <f t="shared" si="1"/>
        <v>0</v>
      </c>
      <c r="M13" s="348">
        <f t="shared" si="1"/>
        <v>0</v>
      </c>
      <c r="O13" s="98">
        <f>+AVERAGE(B13:M13)</f>
        <v>0</v>
      </c>
      <c r="Q13" s="312"/>
    </row>
    <row r="14" spans="1:18">
      <c r="A14" t="s">
        <v>478</v>
      </c>
      <c r="B14" s="72">
        <f>+SUM(B10:B13)</f>
        <v>0</v>
      </c>
      <c r="C14" s="72">
        <f t="shared" ref="C14:M14" si="2">+SUM(C10:C13)</f>
        <v>0</v>
      </c>
      <c r="D14" s="72">
        <f t="shared" si="2"/>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c r="O14" s="98">
        <f>+AVERAGE(B14:M14)</f>
        <v>0</v>
      </c>
    </row>
    <row r="16" spans="1:18" ht="30">
      <c r="A16" s="70" t="s">
        <v>1378</v>
      </c>
      <c r="B16" s="498">
        <f>+B14/B8</f>
        <v>0</v>
      </c>
      <c r="C16" s="498">
        <f t="shared" ref="C16:M16" si="3">+C14/C8</f>
        <v>0</v>
      </c>
      <c r="D16" s="498">
        <f t="shared" si="3"/>
        <v>0</v>
      </c>
      <c r="E16" s="498">
        <f t="shared" si="3"/>
        <v>0</v>
      </c>
      <c r="F16" s="498">
        <f t="shared" si="3"/>
        <v>0</v>
      </c>
      <c r="G16" s="498">
        <f t="shared" si="3"/>
        <v>0</v>
      </c>
      <c r="H16" s="498">
        <f t="shared" si="3"/>
        <v>0</v>
      </c>
      <c r="I16" s="498">
        <f t="shared" si="3"/>
        <v>0</v>
      </c>
      <c r="J16" s="498">
        <f t="shared" si="3"/>
        <v>0</v>
      </c>
      <c r="K16" s="498">
        <f t="shared" si="3"/>
        <v>0</v>
      </c>
      <c r="L16" s="498">
        <f t="shared" si="3"/>
        <v>0</v>
      </c>
      <c r="M16" s="498">
        <f t="shared" si="3"/>
        <v>0</v>
      </c>
      <c r="N16" s="43"/>
      <c r="O16" s="498">
        <f>+O14/O8</f>
        <v>0</v>
      </c>
      <c r="Q16" t="s">
        <v>1380</v>
      </c>
      <c r="R16" s="312"/>
    </row>
    <row r="17" spans="1:18" ht="30">
      <c r="A17" s="70" t="s">
        <v>1379</v>
      </c>
      <c r="B17" s="209">
        <f>(B14-B11)/(B8-B11)</f>
        <v>0</v>
      </c>
      <c r="C17" s="209">
        <f t="shared" ref="C17:O17" si="4">(C14-C11)/(C8-C11)</f>
        <v>0</v>
      </c>
      <c r="D17" s="209">
        <f t="shared" si="4"/>
        <v>0</v>
      </c>
      <c r="E17" s="209">
        <f t="shared" si="4"/>
        <v>0</v>
      </c>
      <c r="F17" s="209">
        <f t="shared" si="4"/>
        <v>0</v>
      </c>
      <c r="G17" s="209">
        <f t="shared" si="4"/>
        <v>0</v>
      </c>
      <c r="H17" s="209">
        <f t="shared" si="4"/>
        <v>0</v>
      </c>
      <c r="I17" s="209">
        <f t="shared" si="4"/>
        <v>0</v>
      </c>
      <c r="J17" s="209">
        <f t="shared" si="4"/>
        <v>0</v>
      </c>
      <c r="K17" s="209">
        <f t="shared" si="4"/>
        <v>0</v>
      </c>
      <c r="L17" s="209">
        <f t="shared" si="4"/>
        <v>0</v>
      </c>
      <c r="M17" s="209">
        <f t="shared" si="4"/>
        <v>0</v>
      </c>
      <c r="O17" s="209">
        <f t="shared" si="4"/>
        <v>0</v>
      </c>
      <c r="Q17" t="s">
        <v>1381</v>
      </c>
      <c r="R17" s="312"/>
    </row>
    <row r="19" spans="1:18">
      <c r="B19" s="43"/>
    </row>
    <row r="20" spans="1:18">
      <c r="B20" s="43"/>
    </row>
    <row r="21" spans="1:18">
      <c r="B21" s="43"/>
    </row>
    <row r="23" spans="1:18">
      <c r="A23" t="s">
        <v>479</v>
      </c>
    </row>
    <row r="24" spans="1:18">
      <c r="A24" t="s">
        <v>480</v>
      </c>
      <c r="B24" s="84"/>
      <c r="C24" s="84"/>
      <c r="D24" s="84"/>
      <c r="E24" s="84"/>
      <c r="F24" s="84"/>
      <c r="G24" s="84"/>
      <c r="H24" s="84"/>
      <c r="I24" s="84"/>
      <c r="J24" s="84"/>
      <c r="K24" s="84"/>
      <c r="L24" s="84"/>
      <c r="M24" s="84"/>
    </row>
    <row r="25" spans="1:18">
      <c r="A25" t="s">
        <v>481</v>
      </c>
      <c r="B25" s="84"/>
      <c r="C25" s="84"/>
      <c r="D25" s="84"/>
      <c r="E25" s="84"/>
      <c r="F25" s="84"/>
      <c r="G25" s="84"/>
      <c r="H25" s="84"/>
      <c r="I25" s="84"/>
      <c r="J25" s="84"/>
      <c r="K25" s="84"/>
      <c r="L25" s="84"/>
      <c r="M25" s="84"/>
    </row>
    <row r="26" spans="1:18">
      <c r="A26" t="s">
        <v>482</v>
      </c>
      <c r="B26" s="84"/>
      <c r="C26" s="84"/>
      <c r="D26" s="84"/>
      <c r="E26" s="84"/>
      <c r="F26" s="84"/>
      <c r="G26" s="84"/>
      <c r="H26" s="84"/>
      <c r="I26" s="84"/>
      <c r="J26" s="84"/>
      <c r="K26" s="84"/>
      <c r="L26" s="84"/>
      <c r="M26" s="84"/>
    </row>
    <row r="27" spans="1:18">
      <c r="B27" s="47"/>
      <c r="C27" s="47"/>
      <c r="D27" s="47"/>
      <c r="E27" s="47"/>
      <c r="F27" s="47"/>
      <c r="G27" s="47"/>
      <c r="H27" s="47"/>
      <c r="I27" s="47"/>
      <c r="J27" s="47"/>
      <c r="K27" s="47"/>
      <c r="L27" s="47"/>
      <c r="M27" s="47"/>
    </row>
    <row r="28" spans="1:18">
      <c r="A28" t="s">
        <v>897</v>
      </c>
      <c r="B28" s="47"/>
      <c r="C28" s="47"/>
      <c r="D28" s="47"/>
      <c r="E28" s="47"/>
      <c r="F28" s="47"/>
      <c r="G28" s="47"/>
      <c r="H28" s="47"/>
      <c r="I28" s="47"/>
      <c r="J28" s="47"/>
      <c r="K28" s="47"/>
      <c r="L28" s="47"/>
      <c r="M28" s="47"/>
    </row>
    <row r="29" spans="1:18">
      <c r="A29" t="s">
        <v>480</v>
      </c>
      <c r="B29" s="84"/>
      <c r="C29" s="84"/>
      <c r="D29" s="84"/>
      <c r="E29" s="84"/>
      <c r="F29" s="84"/>
      <c r="G29" s="84"/>
      <c r="H29" s="84"/>
      <c r="I29" s="84"/>
      <c r="J29" s="84"/>
      <c r="K29" s="84"/>
      <c r="L29" s="84"/>
      <c r="M29" s="84"/>
    </row>
    <row r="30" spans="1:18">
      <c r="A30" t="s">
        <v>481</v>
      </c>
      <c r="B30" s="84"/>
      <c r="C30" s="84"/>
      <c r="D30" s="84"/>
      <c r="E30" s="84"/>
      <c r="F30" s="84"/>
      <c r="G30" s="84"/>
      <c r="H30" s="84"/>
      <c r="I30" s="84"/>
      <c r="J30" s="84"/>
      <c r="K30" s="84"/>
      <c r="L30" s="84"/>
      <c r="M30" s="84"/>
    </row>
    <row r="31" spans="1:18">
      <c r="A31" t="s">
        <v>898</v>
      </c>
      <c r="B31" s="84"/>
      <c r="C31" s="84"/>
      <c r="D31" s="84"/>
      <c r="E31" s="84"/>
      <c r="F31" s="84"/>
      <c r="G31" s="84"/>
      <c r="H31" s="84"/>
      <c r="I31" s="84"/>
      <c r="J31" s="84"/>
      <c r="K31" s="84"/>
      <c r="L31" s="84"/>
      <c r="M31" s="84"/>
    </row>
    <row r="32" spans="1:18">
      <c r="A32" t="s">
        <v>482</v>
      </c>
      <c r="B32" s="73">
        <f>+B29-B30-B31</f>
        <v>0</v>
      </c>
      <c r="C32" s="73">
        <f t="shared" ref="C32:M32" si="5">+C29-C30-C31</f>
        <v>0</v>
      </c>
      <c r="D32" s="73">
        <f t="shared" si="5"/>
        <v>0</v>
      </c>
      <c r="E32" s="73">
        <f t="shared" si="5"/>
        <v>0</v>
      </c>
      <c r="F32" s="73">
        <f t="shared" si="5"/>
        <v>0</v>
      </c>
      <c r="G32" s="73">
        <f t="shared" si="5"/>
        <v>0</v>
      </c>
      <c r="H32" s="73">
        <f t="shared" si="5"/>
        <v>0</v>
      </c>
      <c r="I32" s="73">
        <f t="shared" si="5"/>
        <v>0</v>
      </c>
      <c r="J32" s="73">
        <f t="shared" si="5"/>
        <v>0</v>
      </c>
      <c r="K32" s="73">
        <f t="shared" si="5"/>
        <v>0</v>
      </c>
      <c r="L32" s="73">
        <f t="shared" si="5"/>
        <v>0</v>
      </c>
      <c r="M32" s="73">
        <f t="shared" si="5"/>
        <v>0</v>
      </c>
    </row>
    <row r="33" spans="1:17">
      <c r="B33" s="46"/>
      <c r="C33" s="46"/>
      <c r="D33" s="46"/>
      <c r="E33" s="46"/>
      <c r="F33" s="46"/>
      <c r="G33" s="46"/>
      <c r="H33" s="46"/>
      <c r="I33" s="46"/>
      <c r="J33" s="46"/>
      <c r="K33" s="46"/>
      <c r="L33" s="46"/>
      <c r="M33" s="46"/>
    </row>
    <row r="34" spans="1:17">
      <c r="A34" t="s">
        <v>483</v>
      </c>
      <c r="B34" s="46"/>
      <c r="C34" s="46"/>
      <c r="D34" s="46"/>
      <c r="E34" s="46"/>
      <c r="F34" s="46"/>
      <c r="G34" s="46"/>
      <c r="H34" s="46"/>
      <c r="I34" s="46"/>
      <c r="J34" s="46"/>
      <c r="K34" s="46"/>
      <c r="L34" s="46"/>
      <c r="M34" s="46"/>
    </row>
    <row r="35" spans="1:17">
      <c r="A35" t="s">
        <v>480</v>
      </c>
      <c r="B35" s="84"/>
      <c r="C35" s="84"/>
      <c r="D35" s="84"/>
      <c r="E35" s="84"/>
      <c r="F35" s="84"/>
      <c r="G35" s="84"/>
      <c r="H35" s="84"/>
      <c r="I35" s="84"/>
      <c r="J35" s="84"/>
      <c r="K35" s="84"/>
      <c r="L35" s="84"/>
      <c r="M35" s="84"/>
    </row>
    <row r="36" spans="1:17">
      <c r="A36" t="s">
        <v>481</v>
      </c>
      <c r="B36" s="84"/>
      <c r="C36" s="84"/>
      <c r="D36" s="84"/>
      <c r="E36" s="84"/>
      <c r="F36" s="84"/>
      <c r="G36" s="84"/>
      <c r="H36" s="84"/>
      <c r="I36" s="84"/>
      <c r="J36" s="84"/>
      <c r="K36" s="84"/>
      <c r="L36" s="84"/>
      <c r="M36" s="84"/>
    </row>
    <row r="37" spans="1:17">
      <c r="A37" t="s">
        <v>482</v>
      </c>
      <c r="B37" s="73">
        <f>+B35-B36</f>
        <v>0</v>
      </c>
      <c r="C37" s="73">
        <f t="shared" ref="C37:M37" si="6">+C35-C36</f>
        <v>0</v>
      </c>
      <c r="D37" s="73">
        <f t="shared" si="6"/>
        <v>0</v>
      </c>
      <c r="E37" s="73">
        <f t="shared" si="6"/>
        <v>0</v>
      </c>
      <c r="F37" s="73">
        <f t="shared" si="6"/>
        <v>0</v>
      </c>
      <c r="G37" s="73">
        <f t="shared" si="6"/>
        <v>0</v>
      </c>
      <c r="H37" s="73">
        <f t="shared" si="6"/>
        <v>0</v>
      </c>
      <c r="I37" s="73">
        <f t="shared" si="6"/>
        <v>0</v>
      </c>
      <c r="J37" s="73">
        <f t="shared" si="6"/>
        <v>0</v>
      </c>
      <c r="K37" s="73">
        <f t="shared" si="6"/>
        <v>0</v>
      </c>
      <c r="L37" s="73">
        <f t="shared" si="6"/>
        <v>0</v>
      </c>
      <c r="M37" s="73">
        <f t="shared" si="6"/>
        <v>0</v>
      </c>
    </row>
    <row r="38" spans="1:17">
      <c r="B38" s="46"/>
      <c r="C38" s="46"/>
      <c r="D38" s="46"/>
      <c r="E38" s="46"/>
      <c r="F38" s="46"/>
      <c r="G38" s="46"/>
      <c r="H38" s="46"/>
      <c r="I38" s="46"/>
      <c r="J38" s="46"/>
      <c r="K38" s="46"/>
      <c r="L38" s="46"/>
      <c r="M38" s="46"/>
    </row>
    <row r="39" spans="1:17">
      <c r="A39" t="s">
        <v>1391</v>
      </c>
      <c r="B39" s="46"/>
      <c r="C39" s="46"/>
      <c r="D39" s="46"/>
      <c r="E39" s="46"/>
      <c r="F39" s="46"/>
      <c r="G39" s="46"/>
      <c r="H39" s="46"/>
      <c r="I39" s="46"/>
      <c r="J39" s="46"/>
      <c r="K39" s="46"/>
      <c r="L39" s="46"/>
      <c r="M39" s="46"/>
      <c r="Q39" s="312"/>
    </row>
    <row r="40" spans="1:17">
      <c r="A40" t="s">
        <v>480</v>
      </c>
      <c r="B40" s="84"/>
      <c r="C40" s="84"/>
      <c r="D40" s="84"/>
      <c r="E40" s="84"/>
      <c r="F40" s="84"/>
      <c r="G40" s="84"/>
      <c r="H40" s="84"/>
      <c r="I40" s="84"/>
      <c r="J40" s="84"/>
      <c r="K40" s="84"/>
      <c r="L40" s="84"/>
      <c r="M40" s="84"/>
      <c r="Q40" s="312"/>
    </row>
    <row r="41" spans="1:17">
      <c r="A41" t="s">
        <v>481</v>
      </c>
      <c r="B41" s="84"/>
      <c r="C41" s="84"/>
      <c r="D41" s="84"/>
      <c r="E41" s="84"/>
      <c r="F41" s="84"/>
      <c r="G41" s="84"/>
      <c r="H41" s="84"/>
      <c r="I41" s="84"/>
      <c r="J41" s="84"/>
      <c r="K41" s="84"/>
      <c r="L41" s="84"/>
      <c r="M41" s="84"/>
      <c r="Q41" s="312"/>
    </row>
    <row r="42" spans="1:17">
      <c r="A42" t="s">
        <v>482</v>
      </c>
      <c r="B42" s="73">
        <f>+B40-B41</f>
        <v>0</v>
      </c>
      <c r="C42" s="73">
        <f t="shared" ref="C42:M42" si="7">+C40-C41</f>
        <v>0</v>
      </c>
      <c r="D42" s="73">
        <f t="shared" si="7"/>
        <v>0</v>
      </c>
      <c r="E42" s="73">
        <f t="shared" si="7"/>
        <v>0</v>
      </c>
      <c r="F42" s="73">
        <f t="shared" si="7"/>
        <v>0</v>
      </c>
      <c r="G42" s="73">
        <f t="shared" si="7"/>
        <v>0</v>
      </c>
      <c r="H42" s="73">
        <f t="shared" si="7"/>
        <v>0</v>
      </c>
      <c r="I42" s="73">
        <f t="shared" si="7"/>
        <v>0</v>
      </c>
      <c r="J42" s="73">
        <f t="shared" si="7"/>
        <v>0</v>
      </c>
      <c r="K42" s="73">
        <f t="shared" si="7"/>
        <v>0</v>
      </c>
      <c r="L42" s="73">
        <f t="shared" si="7"/>
        <v>0</v>
      </c>
      <c r="M42" s="73">
        <f t="shared" si="7"/>
        <v>0</v>
      </c>
    </row>
    <row r="43" spans="1:17">
      <c r="G43" s="47"/>
      <c r="H43" s="47"/>
      <c r="I43" s="47"/>
    </row>
    <row r="44" spans="1:17">
      <c r="G44" s="47"/>
      <c r="H44" s="47"/>
      <c r="I44" s="47"/>
    </row>
    <row r="45" spans="1:17">
      <c r="G45" s="47"/>
      <c r="H45" s="47"/>
      <c r="I45" s="47"/>
    </row>
    <row r="46" spans="1:17">
      <c r="G46" s="47"/>
      <c r="H46" s="47"/>
      <c r="I46" s="47"/>
    </row>
    <row r="47" spans="1:17">
      <c r="G47" s="47"/>
      <c r="H47" s="47"/>
      <c r="I47" s="47"/>
    </row>
  </sheetData>
  <mergeCells count="1">
    <mergeCell ref="B3:M3"/>
  </mergeCells>
  <pageMargins left="0.7" right="0.7" top="0.75" bottom="0.75" header="0.3" footer="0.3"/>
  <pageSetup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7"/>
  <sheetViews>
    <sheetView workbookViewId="0">
      <selection activeCell="K4" sqref="K4"/>
    </sheetView>
  </sheetViews>
  <sheetFormatPr defaultColWidth="8.85546875" defaultRowHeight="15"/>
  <cols>
    <col min="1" max="1" width="54.42578125" bestFit="1" customWidth="1"/>
    <col min="2" max="2" width="50.5703125" bestFit="1" customWidth="1"/>
    <col min="7" max="7" width="16.28515625" bestFit="1" customWidth="1"/>
    <col min="8" max="8" width="13.7109375" customWidth="1"/>
    <col min="9" max="9" width="22.28515625" bestFit="1" customWidth="1"/>
    <col min="10" max="10" width="18.28515625" customWidth="1"/>
    <col min="11" max="11" width="14.28515625" bestFit="1" customWidth="1"/>
    <col min="12" max="12" width="17.42578125" bestFit="1" customWidth="1"/>
    <col min="13" max="13" width="94.28515625" bestFit="1" customWidth="1"/>
    <col min="14" max="14" width="17.85546875" bestFit="1" customWidth="1"/>
    <col min="15" max="15" width="36.5703125" customWidth="1"/>
    <col min="16" max="16" width="12.140625" customWidth="1"/>
  </cols>
  <sheetData>
    <row r="1" spans="1:13">
      <c r="A1" s="1" t="s">
        <v>0</v>
      </c>
      <c r="C1" s="1"/>
      <c r="H1" s="203"/>
    </row>
    <row r="2" spans="1:13">
      <c r="A2" s="1" t="s">
        <v>723</v>
      </c>
      <c r="C2" s="1"/>
      <c r="H2" s="203"/>
    </row>
    <row r="3" spans="1:13">
      <c r="A3" s="1"/>
      <c r="C3" s="1"/>
      <c r="H3" s="203"/>
    </row>
    <row r="4" spans="1:13">
      <c r="A4" s="1" t="s">
        <v>1369</v>
      </c>
      <c r="B4" t="s">
        <v>1847</v>
      </c>
      <c r="C4" s="1"/>
      <c r="H4" s="203"/>
    </row>
    <row r="5" spans="1:13">
      <c r="A5" s="1"/>
      <c r="B5" s="200" t="s">
        <v>1723</v>
      </c>
      <c r="C5" s="1"/>
      <c r="H5" s="204"/>
    </row>
    <row r="6" spans="1:13" ht="75">
      <c r="A6" s="520" t="s">
        <v>326</v>
      </c>
      <c r="B6" s="288" t="s">
        <v>1269</v>
      </c>
      <c r="C6" s="289" t="s">
        <v>1270</v>
      </c>
      <c r="D6" s="289" t="s">
        <v>711</v>
      </c>
      <c r="E6" s="290" t="s">
        <v>1271</v>
      </c>
      <c r="F6" s="290" t="s">
        <v>1272</v>
      </c>
      <c r="G6" s="290" t="s">
        <v>1273</v>
      </c>
      <c r="H6" s="290" t="s">
        <v>1274</v>
      </c>
      <c r="I6" s="290" t="s">
        <v>1275</v>
      </c>
      <c r="J6" s="290" t="s">
        <v>1276</v>
      </c>
      <c r="K6" s="290" t="s">
        <v>1274</v>
      </c>
      <c r="L6" s="290" t="s">
        <v>1277</v>
      </c>
      <c r="M6" s="290" t="s">
        <v>1278</v>
      </c>
    </row>
    <row r="7" spans="1:13">
      <c r="A7" s="200" t="s">
        <v>1279</v>
      </c>
      <c r="B7" s="200" t="s">
        <v>1280</v>
      </c>
      <c r="C7" s="278">
        <v>112</v>
      </c>
      <c r="D7" s="278">
        <v>3</v>
      </c>
      <c r="E7" s="278" t="s">
        <v>1712</v>
      </c>
      <c r="F7" s="278" t="s">
        <v>1713</v>
      </c>
      <c r="G7" s="503">
        <v>11529299</v>
      </c>
      <c r="H7" s="504"/>
      <c r="I7" s="275">
        <f t="shared" ref="I7:I38" si="0">+G7+H7</f>
        <v>11529299</v>
      </c>
      <c r="J7" s="503">
        <v>11529299</v>
      </c>
      <c r="K7" s="504"/>
      <c r="L7" s="275">
        <f>+J7+K7</f>
        <v>11529299</v>
      </c>
      <c r="M7" s="592"/>
    </row>
    <row r="8" spans="1:13">
      <c r="A8" s="200" t="s">
        <v>1281</v>
      </c>
      <c r="B8" s="200" t="s">
        <v>1282</v>
      </c>
      <c r="C8" s="278">
        <v>112</v>
      </c>
      <c r="D8" s="278">
        <v>12</v>
      </c>
      <c r="E8" s="278" t="s">
        <v>1712</v>
      </c>
      <c r="F8" s="278" t="s">
        <v>1713</v>
      </c>
      <c r="G8" s="503">
        <v>0</v>
      </c>
      <c r="H8" s="504"/>
      <c r="I8" s="275">
        <f t="shared" si="0"/>
        <v>0</v>
      </c>
      <c r="J8" s="503">
        <v>0</v>
      </c>
      <c r="K8" s="504"/>
      <c r="L8" s="275">
        <f t="shared" ref="L8:L38" si="1">+J8+K8</f>
        <v>0</v>
      </c>
      <c r="M8" s="578"/>
    </row>
    <row r="9" spans="1:13">
      <c r="A9" s="200" t="s">
        <v>1283</v>
      </c>
      <c r="B9" s="200" t="s">
        <v>1284</v>
      </c>
      <c r="C9" s="278">
        <v>112</v>
      </c>
      <c r="D9" s="278">
        <v>15</v>
      </c>
      <c r="E9" s="278" t="s">
        <v>1712</v>
      </c>
      <c r="F9" s="278" t="s">
        <v>1713</v>
      </c>
      <c r="G9" s="503">
        <v>-66505459</v>
      </c>
      <c r="H9" s="504"/>
      <c r="I9" s="275">
        <f>+G9+H9</f>
        <v>-66505459</v>
      </c>
      <c r="J9" s="503">
        <v>-75707581</v>
      </c>
      <c r="K9" s="504"/>
      <c r="L9" s="275">
        <f t="shared" si="1"/>
        <v>-75707581</v>
      </c>
      <c r="M9" s="578"/>
    </row>
    <row r="10" spans="1:13">
      <c r="A10" s="200" t="s">
        <v>1285</v>
      </c>
      <c r="B10" s="200" t="s">
        <v>1286</v>
      </c>
      <c r="C10" s="278">
        <v>112</v>
      </c>
      <c r="D10" s="278">
        <v>16</v>
      </c>
      <c r="E10" s="278" t="s">
        <v>1712</v>
      </c>
      <c r="F10" s="278" t="s">
        <v>1713</v>
      </c>
      <c r="G10" s="503">
        <v>1962506842</v>
      </c>
      <c r="H10" s="504"/>
      <c r="I10" s="275">
        <f t="shared" si="0"/>
        <v>1962506842</v>
      </c>
      <c r="J10" s="503">
        <v>2149020008</v>
      </c>
      <c r="K10" s="504"/>
      <c r="L10" s="275">
        <f t="shared" si="1"/>
        <v>2149020008</v>
      </c>
      <c r="M10" s="578"/>
    </row>
    <row r="11" spans="1:13">
      <c r="A11" s="200" t="s">
        <v>1287</v>
      </c>
      <c r="B11" s="200" t="s">
        <v>382</v>
      </c>
      <c r="C11" s="278">
        <v>112</v>
      </c>
      <c r="D11" s="278">
        <v>24</v>
      </c>
      <c r="E11" s="515" t="s">
        <v>1712</v>
      </c>
      <c r="F11" s="515" t="s">
        <v>1713</v>
      </c>
      <c r="G11" s="503">
        <v>1929234959</v>
      </c>
      <c r="H11" s="504"/>
      <c r="I11" s="275">
        <f t="shared" si="0"/>
        <v>1929234959</v>
      </c>
      <c r="J11" s="503">
        <v>2129304459</v>
      </c>
      <c r="K11" s="504"/>
      <c r="L11" s="275">
        <f t="shared" si="1"/>
        <v>2129304459</v>
      </c>
      <c r="M11" s="578"/>
    </row>
    <row r="12" spans="1:13">
      <c r="A12" s="200" t="s">
        <v>1288</v>
      </c>
      <c r="B12" s="200" t="s">
        <v>1289</v>
      </c>
      <c r="C12" s="278">
        <v>117</v>
      </c>
      <c r="D12" s="278">
        <v>44</v>
      </c>
      <c r="E12" s="278" t="s">
        <v>1712</v>
      </c>
      <c r="F12" s="278" t="s">
        <v>1713</v>
      </c>
      <c r="G12" s="503">
        <v>844447</v>
      </c>
      <c r="H12" s="504"/>
      <c r="I12" s="275">
        <f t="shared" si="0"/>
        <v>844447</v>
      </c>
      <c r="J12" s="503">
        <v>844446</v>
      </c>
      <c r="K12" s="504"/>
      <c r="L12" s="275">
        <f t="shared" si="1"/>
        <v>844446</v>
      </c>
      <c r="M12" s="578"/>
    </row>
    <row r="13" spans="1:13">
      <c r="A13" s="200" t="s">
        <v>1290</v>
      </c>
      <c r="B13" s="200" t="s">
        <v>1291</v>
      </c>
      <c r="C13" s="278">
        <v>117</v>
      </c>
      <c r="D13" s="278">
        <v>63</v>
      </c>
      <c r="E13" s="515" t="s">
        <v>1712</v>
      </c>
      <c r="F13" s="515" t="s">
        <v>1713</v>
      </c>
      <c r="G13" s="503">
        <v>2112477</v>
      </c>
      <c r="H13" s="504"/>
      <c r="I13" s="275">
        <f t="shared" si="0"/>
        <v>2112477</v>
      </c>
      <c r="J13" s="503">
        <v>1914543</v>
      </c>
      <c r="K13" s="504"/>
      <c r="L13" s="275">
        <f t="shared" si="1"/>
        <v>1914543</v>
      </c>
      <c r="M13" s="578"/>
    </row>
    <row r="14" spans="1:13">
      <c r="A14" s="200" t="s">
        <v>1292</v>
      </c>
      <c r="B14" s="200" t="s">
        <v>1293</v>
      </c>
      <c r="C14" s="278">
        <v>117</v>
      </c>
      <c r="D14" s="278">
        <v>64</v>
      </c>
      <c r="E14" s="515" t="s">
        <v>1712</v>
      </c>
      <c r="F14" s="515" t="s">
        <v>1713</v>
      </c>
      <c r="G14" s="503">
        <v>672243</v>
      </c>
      <c r="H14" s="504"/>
      <c r="I14" s="275">
        <f t="shared" si="0"/>
        <v>672243</v>
      </c>
      <c r="J14" s="503">
        <v>454645</v>
      </c>
      <c r="K14" s="504"/>
      <c r="L14" s="275">
        <f t="shared" si="1"/>
        <v>454645</v>
      </c>
      <c r="M14" s="578"/>
    </row>
    <row r="15" spans="1:13">
      <c r="A15" s="200" t="s">
        <v>1294</v>
      </c>
      <c r="B15" s="200" t="s">
        <v>1295</v>
      </c>
      <c r="C15" s="278">
        <v>117</v>
      </c>
      <c r="D15" s="278">
        <v>65</v>
      </c>
      <c r="E15" s="515" t="s">
        <v>1712</v>
      </c>
      <c r="F15" s="515" t="s">
        <v>1713</v>
      </c>
      <c r="G15" s="503">
        <v>0</v>
      </c>
      <c r="H15" s="504"/>
      <c r="I15" s="275">
        <f t="shared" si="0"/>
        <v>0</v>
      </c>
      <c r="J15" s="503">
        <v>0</v>
      </c>
      <c r="K15" s="504"/>
      <c r="L15" s="275">
        <f t="shared" si="1"/>
        <v>0</v>
      </c>
      <c r="M15" s="578"/>
    </row>
    <row r="16" spans="1:13">
      <c r="A16" s="200" t="s">
        <v>1296</v>
      </c>
      <c r="B16" s="200" t="s">
        <v>1297</v>
      </c>
      <c r="C16" s="278">
        <v>117</v>
      </c>
      <c r="D16" s="278">
        <v>66</v>
      </c>
      <c r="E16" s="515" t="s">
        <v>1712</v>
      </c>
      <c r="F16" s="515" t="s">
        <v>1713</v>
      </c>
      <c r="G16" s="503">
        <v>0</v>
      </c>
      <c r="H16" s="504"/>
      <c r="I16" s="275">
        <f t="shared" si="0"/>
        <v>0</v>
      </c>
      <c r="J16" s="503">
        <v>0</v>
      </c>
      <c r="K16" s="504"/>
      <c r="L16" s="275">
        <f t="shared" si="1"/>
        <v>0</v>
      </c>
      <c r="M16" s="578"/>
    </row>
    <row r="17" spans="1:14">
      <c r="A17" s="200" t="s">
        <v>1298</v>
      </c>
      <c r="B17" s="200" t="s">
        <v>1299</v>
      </c>
      <c r="C17" s="278">
        <v>118</v>
      </c>
      <c r="D17" s="278">
        <v>24</v>
      </c>
      <c r="E17" s="515" t="s">
        <v>1712</v>
      </c>
      <c r="F17" s="515" t="s">
        <v>1713</v>
      </c>
      <c r="G17" s="503">
        <v>-528042</v>
      </c>
      <c r="H17" s="504"/>
      <c r="I17" s="275">
        <f t="shared" si="0"/>
        <v>-528042</v>
      </c>
      <c r="J17" s="503">
        <v>-528042</v>
      </c>
      <c r="K17" s="504"/>
      <c r="L17" s="275">
        <f t="shared" si="1"/>
        <v>-528042</v>
      </c>
      <c r="M17" s="578"/>
    </row>
    <row r="18" spans="1:14">
      <c r="A18" s="576" t="s">
        <v>1728</v>
      </c>
      <c r="B18" s="200" t="s">
        <v>1300</v>
      </c>
      <c r="C18" s="278">
        <v>200</v>
      </c>
      <c r="D18" s="278">
        <v>21</v>
      </c>
      <c r="E18" s="278" t="s">
        <v>1714</v>
      </c>
      <c r="F18" s="278" t="s">
        <v>1715</v>
      </c>
      <c r="G18" s="503">
        <v>44698449</v>
      </c>
      <c r="H18" s="504"/>
      <c r="I18" s="275">
        <f t="shared" si="0"/>
        <v>44698449</v>
      </c>
      <c r="J18" s="503">
        <v>30406398</v>
      </c>
      <c r="K18" s="504"/>
      <c r="L18" s="275">
        <f t="shared" si="1"/>
        <v>30406398</v>
      </c>
      <c r="M18" s="578"/>
    </row>
    <row r="19" spans="1:14">
      <c r="A19" s="200" t="s">
        <v>1301</v>
      </c>
      <c r="B19" s="200" t="s">
        <v>1302</v>
      </c>
      <c r="C19" s="278" t="s">
        <v>1716</v>
      </c>
      <c r="D19" s="278">
        <v>5</v>
      </c>
      <c r="E19" s="278" t="s">
        <v>1715</v>
      </c>
      <c r="F19" s="278" t="s">
        <v>1717</v>
      </c>
      <c r="G19" s="503">
        <v>78425320</v>
      </c>
      <c r="H19" s="504"/>
      <c r="I19" s="275">
        <f t="shared" si="0"/>
        <v>78425320</v>
      </c>
      <c r="J19" s="503">
        <v>74269669</v>
      </c>
      <c r="K19" s="504"/>
      <c r="L19" s="275">
        <f>+J19+K19</f>
        <v>74269669</v>
      </c>
      <c r="M19" s="578"/>
    </row>
    <row r="20" spans="1:14">
      <c r="A20" s="200" t="s">
        <v>1303</v>
      </c>
      <c r="B20" s="200" t="s">
        <v>1304</v>
      </c>
      <c r="C20" s="278" t="s">
        <v>1716</v>
      </c>
      <c r="D20" s="278">
        <v>46</v>
      </c>
      <c r="E20" s="278" t="s">
        <v>1715</v>
      </c>
      <c r="F20" s="278" t="s">
        <v>1717</v>
      </c>
      <c r="G20" s="503">
        <v>2077102426</v>
      </c>
      <c r="H20" s="504"/>
      <c r="I20" s="275">
        <f t="shared" si="0"/>
        <v>2077102426</v>
      </c>
      <c r="J20" s="503">
        <v>2132950793</v>
      </c>
      <c r="K20" s="504"/>
      <c r="L20" s="275">
        <f>+J20+K20</f>
        <v>2132950793</v>
      </c>
      <c r="M20" s="578"/>
    </row>
    <row r="21" spans="1:14">
      <c r="A21" s="200" t="s">
        <v>1305</v>
      </c>
      <c r="B21" s="200" t="s">
        <v>1306</v>
      </c>
      <c r="C21" s="278" t="s">
        <v>1718</v>
      </c>
      <c r="D21" s="278">
        <v>58</v>
      </c>
      <c r="E21" s="278" t="s">
        <v>1715</v>
      </c>
      <c r="F21" s="278" t="s">
        <v>1717</v>
      </c>
      <c r="G21" s="503">
        <v>1811833438</v>
      </c>
      <c r="H21" s="504"/>
      <c r="I21" s="275">
        <f>+G21+H21</f>
        <v>1811833438</v>
      </c>
      <c r="J21" s="503">
        <v>2112147437</v>
      </c>
      <c r="K21" s="504"/>
      <c r="L21" s="275">
        <f t="shared" si="1"/>
        <v>2112147437</v>
      </c>
      <c r="M21" s="578"/>
    </row>
    <row r="22" spans="1:14">
      <c r="A22" s="200" t="s">
        <v>1307</v>
      </c>
      <c r="B22" s="200" t="s">
        <v>1308</v>
      </c>
      <c r="C22" s="278" t="s">
        <v>1718</v>
      </c>
      <c r="D22" s="278">
        <v>75</v>
      </c>
      <c r="E22" s="278" t="s">
        <v>1715</v>
      </c>
      <c r="F22" s="278" t="s">
        <v>1717</v>
      </c>
      <c r="G22" s="503">
        <v>1981936272</v>
      </c>
      <c r="H22" s="504"/>
      <c r="I22" s="275">
        <f t="shared" si="0"/>
        <v>1981936272</v>
      </c>
      <c r="J22" s="503">
        <v>2238529675</v>
      </c>
      <c r="K22" s="504"/>
      <c r="L22" s="275">
        <f t="shared" si="1"/>
        <v>2238529675</v>
      </c>
      <c r="M22" s="578"/>
    </row>
    <row r="23" spans="1:14">
      <c r="A23" s="200" t="s">
        <v>1309</v>
      </c>
      <c r="B23" s="200" t="s">
        <v>1310</v>
      </c>
      <c r="C23" s="278" t="s">
        <v>1718</v>
      </c>
      <c r="D23" s="278">
        <v>99</v>
      </c>
      <c r="E23" s="278" t="s">
        <v>1715</v>
      </c>
      <c r="F23" s="278" t="s">
        <v>1717</v>
      </c>
      <c r="G23" s="503">
        <v>179474163</v>
      </c>
      <c r="H23" s="504"/>
      <c r="I23" s="275">
        <f t="shared" si="0"/>
        <v>179474163</v>
      </c>
      <c r="J23" s="503">
        <v>206135968</v>
      </c>
      <c r="K23" s="504"/>
      <c r="L23" s="275">
        <f t="shared" si="1"/>
        <v>206135968</v>
      </c>
      <c r="M23" s="578"/>
    </row>
    <row r="24" spans="1:14">
      <c r="A24" s="200" t="s">
        <v>1311</v>
      </c>
      <c r="B24" s="200" t="s">
        <v>1312</v>
      </c>
      <c r="C24" s="278">
        <v>219</v>
      </c>
      <c r="D24" s="278">
        <v>25</v>
      </c>
      <c r="E24" s="515" t="s">
        <v>1714</v>
      </c>
      <c r="F24" s="515" t="s">
        <v>1715</v>
      </c>
      <c r="G24" s="503">
        <v>465362373</v>
      </c>
      <c r="H24" s="504"/>
      <c r="I24" s="275">
        <f t="shared" si="0"/>
        <v>465362373</v>
      </c>
      <c r="J24" s="503">
        <v>510374174</v>
      </c>
      <c r="K24" s="504"/>
      <c r="L24" s="275">
        <f t="shared" si="1"/>
        <v>510374174</v>
      </c>
      <c r="M24" s="578"/>
      <c r="N24" s="303"/>
    </row>
    <row r="25" spans="1:14">
      <c r="A25" s="200" t="s">
        <v>1313</v>
      </c>
      <c r="B25" s="200" t="s">
        <v>1314</v>
      </c>
      <c r="C25" s="278">
        <v>219</v>
      </c>
      <c r="D25" s="278">
        <v>26</v>
      </c>
      <c r="E25" s="278" t="s">
        <v>1714</v>
      </c>
      <c r="F25" s="278" t="s">
        <v>1715</v>
      </c>
      <c r="G25" s="503">
        <v>756154255</v>
      </c>
      <c r="H25" s="504"/>
      <c r="I25" s="275">
        <f t="shared" si="0"/>
        <v>756154255</v>
      </c>
      <c r="J25" s="503">
        <v>785977019</v>
      </c>
      <c r="K25" s="504"/>
      <c r="L25" s="275">
        <f t="shared" si="1"/>
        <v>785977019</v>
      </c>
      <c r="M25" s="578"/>
      <c r="N25" s="303"/>
    </row>
    <row r="26" spans="1:14">
      <c r="A26" s="200" t="s">
        <v>1315</v>
      </c>
      <c r="B26" s="200" t="s">
        <v>1316</v>
      </c>
      <c r="C26" s="278">
        <v>219</v>
      </c>
      <c r="D26" s="278">
        <v>28</v>
      </c>
      <c r="E26" s="278" t="s">
        <v>1714</v>
      </c>
      <c r="F26" s="278" t="s">
        <v>1715</v>
      </c>
      <c r="G26" s="503">
        <v>89685457</v>
      </c>
      <c r="H26" s="504"/>
      <c r="I26" s="275">
        <f t="shared" si="0"/>
        <v>89685457</v>
      </c>
      <c r="J26" s="503">
        <v>97861882</v>
      </c>
      <c r="K26" s="504"/>
      <c r="L26" s="275">
        <f t="shared" si="1"/>
        <v>97861882</v>
      </c>
      <c r="M26" s="578"/>
    </row>
    <row r="27" spans="1:14">
      <c r="A27" s="200" t="s">
        <v>1317</v>
      </c>
      <c r="B27" s="200" t="s">
        <v>1318</v>
      </c>
      <c r="C27" s="278">
        <v>219</v>
      </c>
      <c r="D27" s="278" t="s">
        <v>1719</v>
      </c>
      <c r="E27" s="515" t="s">
        <v>1714</v>
      </c>
      <c r="F27" s="515" t="s">
        <v>1715</v>
      </c>
      <c r="G27" s="503">
        <f>150748212+393899755+279968036</f>
        <v>824616003</v>
      </c>
      <c r="H27" s="504"/>
      <c r="I27" s="275">
        <f t="shared" si="0"/>
        <v>824616003</v>
      </c>
      <c r="J27" s="503">
        <v>856997644</v>
      </c>
      <c r="K27" s="504"/>
      <c r="L27" s="275">
        <f t="shared" si="1"/>
        <v>856997644</v>
      </c>
      <c r="M27" s="578"/>
    </row>
    <row r="28" spans="1:14">
      <c r="A28" s="276" t="s">
        <v>1319</v>
      </c>
      <c r="B28" s="200" t="s">
        <v>1320</v>
      </c>
      <c r="C28" s="278">
        <v>227</v>
      </c>
      <c r="D28" s="278" t="s">
        <v>1720</v>
      </c>
      <c r="E28" s="515" t="s">
        <v>1715</v>
      </c>
      <c r="F28" s="515" t="s">
        <v>1713</v>
      </c>
      <c r="G28" s="503">
        <v>33248804</v>
      </c>
      <c r="H28" s="504"/>
      <c r="I28" s="275">
        <f t="shared" si="0"/>
        <v>33248804</v>
      </c>
      <c r="J28" s="503">
        <v>85275802</v>
      </c>
      <c r="K28" s="504"/>
      <c r="L28" s="275">
        <f t="shared" si="1"/>
        <v>85275802</v>
      </c>
      <c r="M28" s="578"/>
    </row>
    <row r="29" spans="1:14">
      <c r="A29" s="200" t="s">
        <v>1321</v>
      </c>
      <c r="B29" s="200" t="s">
        <v>1322</v>
      </c>
      <c r="C29" s="278">
        <v>227</v>
      </c>
      <c r="D29" s="278">
        <v>7</v>
      </c>
      <c r="E29" s="515" t="s">
        <v>1715</v>
      </c>
      <c r="F29" s="515" t="s">
        <v>1713</v>
      </c>
      <c r="G29" s="503">
        <v>28170623</v>
      </c>
      <c r="H29" s="504"/>
      <c r="I29" s="275">
        <f t="shared" si="0"/>
        <v>28170623</v>
      </c>
      <c r="J29" s="503">
        <v>28974111</v>
      </c>
      <c r="K29" s="504"/>
      <c r="L29" s="275">
        <f t="shared" si="1"/>
        <v>28974111</v>
      </c>
      <c r="M29" s="578"/>
    </row>
    <row r="30" spans="1:14">
      <c r="A30" s="200" t="s">
        <v>1323</v>
      </c>
      <c r="B30" s="200" t="s">
        <v>1324</v>
      </c>
      <c r="C30" s="278">
        <v>227</v>
      </c>
      <c r="D30" s="278">
        <v>8</v>
      </c>
      <c r="E30" s="278" t="s">
        <v>1715</v>
      </c>
      <c r="F30" s="278" t="s">
        <v>1713</v>
      </c>
      <c r="G30" s="503">
        <v>17991600</v>
      </c>
      <c r="H30" s="504"/>
      <c r="I30" s="275">
        <f t="shared" si="0"/>
        <v>17991600</v>
      </c>
      <c r="J30" s="503">
        <v>26020403</v>
      </c>
      <c r="K30" s="504"/>
      <c r="L30" s="275">
        <f t="shared" si="1"/>
        <v>26020403</v>
      </c>
      <c r="M30" s="578"/>
    </row>
    <row r="31" spans="1:14">
      <c r="A31" s="200" t="s">
        <v>1429</v>
      </c>
      <c r="B31" s="200" t="s">
        <v>132</v>
      </c>
      <c r="C31" s="278">
        <v>233</v>
      </c>
      <c r="D31" s="278">
        <v>12</v>
      </c>
      <c r="E31" s="278" t="s">
        <v>1715</v>
      </c>
      <c r="F31" s="278" t="s">
        <v>1721</v>
      </c>
      <c r="G31" s="503">
        <v>51632295</v>
      </c>
      <c r="H31" s="504"/>
      <c r="I31" s="275">
        <f t="shared" si="0"/>
        <v>51632295</v>
      </c>
      <c r="J31" s="503">
        <v>51632295</v>
      </c>
      <c r="K31" s="504"/>
      <c r="L31" s="275">
        <f t="shared" si="1"/>
        <v>51632295</v>
      </c>
      <c r="M31" s="578"/>
    </row>
    <row r="32" spans="1:14">
      <c r="A32" s="200" t="s">
        <v>1325</v>
      </c>
      <c r="B32" s="200" t="s">
        <v>1326</v>
      </c>
      <c r="C32" s="278">
        <v>257.10000000000002</v>
      </c>
      <c r="D32" s="278">
        <v>45</v>
      </c>
      <c r="E32" s="278" t="s">
        <v>1714</v>
      </c>
      <c r="F32" s="278" t="s">
        <v>1722</v>
      </c>
      <c r="G32" s="503">
        <v>71499477</v>
      </c>
      <c r="H32" s="504"/>
      <c r="I32" s="275">
        <f>+G32+H32</f>
        <v>71499477</v>
      </c>
      <c r="J32" s="503">
        <v>74734332</v>
      </c>
      <c r="K32" s="504"/>
      <c r="L32" s="275">
        <f t="shared" si="1"/>
        <v>74734332</v>
      </c>
      <c r="M32" s="578"/>
    </row>
    <row r="33" spans="1:13">
      <c r="A33" s="200" t="s">
        <v>1738</v>
      </c>
      <c r="B33" s="200" t="s">
        <v>1327</v>
      </c>
      <c r="C33" s="278">
        <v>263</v>
      </c>
      <c r="D33" s="278">
        <v>56</v>
      </c>
      <c r="E33" s="278" t="s">
        <v>1714</v>
      </c>
      <c r="F33" s="278" t="s">
        <v>1737</v>
      </c>
      <c r="G33" s="503">
        <v>3584806</v>
      </c>
      <c r="H33" s="504"/>
      <c r="I33" s="275">
        <f t="shared" si="0"/>
        <v>3584806</v>
      </c>
      <c r="J33" s="503">
        <v>3849324</v>
      </c>
      <c r="K33" s="504"/>
      <c r="L33" s="275">
        <f t="shared" si="1"/>
        <v>3849324</v>
      </c>
      <c r="M33" s="593"/>
    </row>
    <row r="34" spans="1:13">
      <c r="A34" s="200" t="s">
        <v>1738</v>
      </c>
      <c r="B34" s="200" t="s">
        <v>1328</v>
      </c>
      <c r="C34" s="278">
        <v>263</v>
      </c>
      <c r="D34" s="278">
        <v>19</v>
      </c>
      <c r="E34" s="278" t="s">
        <v>1714</v>
      </c>
      <c r="F34" s="278" t="s">
        <v>1737</v>
      </c>
      <c r="G34" s="503">
        <v>21892</v>
      </c>
      <c r="H34" s="504"/>
      <c r="I34" s="275">
        <f t="shared" si="0"/>
        <v>21892</v>
      </c>
      <c r="J34" s="503">
        <v>22149</v>
      </c>
      <c r="K34" s="504"/>
      <c r="L34" s="275">
        <f t="shared" si="1"/>
        <v>22149</v>
      </c>
      <c r="M34" s="578"/>
    </row>
    <row r="35" spans="1:13">
      <c r="A35" s="200" t="s">
        <v>1738</v>
      </c>
      <c r="B35" s="200" t="s">
        <v>1329</v>
      </c>
      <c r="C35" s="278">
        <v>263</v>
      </c>
      <c r="D35" s="278" t="s">
        <v>1776</v>
      </c>
      <c r="E35" s="278" t="s">
        <v>1714</v>
      </c>
      <c r="F35" s="278" t="s">
        <v>1737</v>
      </c>
      <c r="G35" s="503">
        <f>48652+160+189</f>
        <v>49001</v>
      </c>
      <c r="H35" s="504"/>
      <c r="I35" s="275">
        <f t="shared" si="0"/>
        <v>49001</v>
      </c>
      <c r="J35" s="503">
        <v>368706</v>
      </c>
      <c r="K35" s="504"/>
      <c r="L35" s="275">
        <f t="shared" si="1"/>
        <v>368706</v>
      </c>
      <c r="M35" s="578"/>
    </row>
    <row r="36" spans="1:13">
      <c r="A36" s="200" t="s">
        <v>1738</v>
      </c>
      <c r="B36" s="200" t="s">
        <v>1330</v>
      </c>
      <c r="C36" s="278">
        <v>263</v>
      </c>
      <c r="D36" s="278">
        <v>16</v>
      </c>
      <c r="E36" s="278" t="s">
        <v>1714</v>
      </c>
      <c r="F36" s="278" t="s">
        <v>1737</v>
      </c>
      <c r="G36" s="503">
        <v>33524241</v>
      </c>
      <c r="H36" s="504"/>
      <c r="I36" s="275">
        <f t="shared" si="0"/>
        <v>33524241</v>
      </c>
      <c r="J36" s="503">
        <v>33925759</v>
      </c>
      <c r="K36" s="504"/>
      <c r="L36" s="275">
        <f t="shared" si="1"/>
        <v>33925759</v>
      </c>
      <c r="M36" s="578"/>
    </row>
    <row r="37" spans="1:13">
      <c r="A37" s="200" t="s">
        <v>1738</v>
      </c>
      <c r="B37" s="200" t="s">
        <v>1331</v>
      </c>
      <c r="C37" s="278">
        <v>263</v>
      </c>
      <c r="D37" s="278">
        <v>42</v>
      </c>
      <c r="E37" s="278" t="s">
        <v>1714</v>
      </c>
      <c r="F37" s="278" t="s">
        <v>1737</v>
      </c>
      <c r="G37" s="503">
        <v>0</v>
      </c>
      <c r="H37" s="504"/>
      <c r="I37" s="275">
        <f t="shared" si="0"/>
        <v>0</v>
      </c>
      <c r="J37" s="503">
        <v>0</v>
      </c>
      <c r="K37" s="504"/>
      <c r="L37" s="275">
        <f t="shared" si="1"/>
        <v>0</v>
      </c>
      <c r="M37" s="578"/>
    </row>
    <row r="38" spans="1:13">
      <c r="A38" s="200" t="s">
        <v>1361</v>
      </c>
      <c r="B38" s="202" t="s">
        <v>1332</v>
      </c>
      <c r="C38" s="278">
        <v>321</v>
      </c>
      <c r="D38" s="278">
        <v>85</v>
      </c>
      <c r="E38" s="278" t="s">
        <v>1713</v>
      </c>
      <c r="F38" s="278" t="s">
        <v>1715</v>
      </c>
      <c r="G38" s="503">
        <v>55484</v>
      </c>
      <c r="H38" s="504"/>
      <c r="I38" s="275">
        <f t="shared" si="0"/>
        <v>55484</v>
      </c>
      <c r="J38" s="503">
        <v>49872</v>
      </c>
      <c r="K38" s="504"/>
      <c r="L38" s="275">
        <f t="shared" si="1"/>
        <v>49872</v>
      </c>
      <c r="M38" s="578"/>
    </row>
    <row r="39" spans="1:13">
      <c r="A39" s="200" t="s">
        <v>1362</v>
      </c>
      <c r="B39" s="202" t="s">
        <v>1333</v>
      </c>
      <c r="C39" s="278">
        <v>321</v>
      </c>
      <c r="D39" s="278">
        <v>86</v>
      </c>
      <c r="E39" s="278" t="s">
        <v>1713</v>
      </c>
      <c r="F39" s="278" t="s">
        <v>1715</v>
      </c>
      <c r="G39" s="503">
        <v>448047</v>
      </c>
      <c r="H39" s="504"/>
      <c r="I39" s="275">
        <f t="shared" ref="I39:I55" si="2">+G39+H39</f>
        <v>448047</v>
      </c>
      <c r="J39" s="503">
        <v>437279</v>
      </c>
      <c r="K39" s="504"/>
      <c r="L39" s="275">
        <f t="shared" ref="L39:L55" si="3">+J39+K39</f>
        <v>437279</v>
      </c>
      <c r="M39" s="578"/>
    </row>
    <row r="40" spans="1:13">
      <c r="A40" s="200" t="s">
        <v>1363</v>
      </c>
      <c r="B40" s="202" t="s">
        <v>1334</v>
      </c>
      <c r="C40" s="278">
        <v>321</v>
      </c>
      <c r="D40" s="278">
        <v>87</v>
      </c>
      <c r="E40" s="278" t="s">
        <v>1713</v>
      </c>
      <c r="F40" s="278" t="s">
        <v>1715</v>
      </c>
      <c r="G40" s="503">
        <v>651952</v>
      </c>
      <c r="H40" s="504"/>
      <c r="I40" s="275">
        <f t="shared" si="2"/>
        <v>651952</v>
      </c>
      <c r="J40" s="503">
        <v>595088</v>
      </c>
      <c r="K40" s="504"/>
      <c r="L40" s="275">
        <f t="shared" si="3"/>
        <v>595088</v>
      </c>
      <c r="M40" s="578"/>
    </row>
    <row r="41" spans="1:13">
      <c r="A41" s="200" t="s">
        <v>1364</v>
      </c>
      <c r="B41" s="202" t="s">
        <v>1335</v>
      </c>
      <c r="C41" s="278">
        <v>321</v>
      </c>
      <c r="D41" s="278">
        <v>88</v>
      </c>
      <c r="E41" s="278" t="s">
        <v>1713</v>
      </c>
      <c r="F41" s="278" t="s">
        <v>1715</v>
      </c>
      <c r="G41" s="503">
        <v>0</v>
      </c>
      <c r="H41" s="504"/>
      <c r="I41" s="275">
        <f t="shared" si="2"/>
        <v>0</v>
      </c>
      <c r="J41" s="503">
        <v>0</v>
      </c>
      <c r="K41" s="504"/>
      <c r="L41" s="275">
        <f t="shared" si="3"/>
        <v>0</v>
      </c>
      <c r="M41" s="578"/>
    </row>
    <row r="42" spans="1:13">
      <c r="A42" s="200" t="s">
        <v>1365</v>
      </c>
      <c r="B42" s="202" t="s">
        <v>1336</v>
      </c>
      <c r="C42" s="278">
        <v>321</v>
      </c>
      <c r="D42" s="278">
        <v>89</v>
      </c>
      <c r="E42" s="278" t="s">
        <v>1713</v>
      </c>
      <c r="F42" s="278" t="s">
        <v>1715</v>
      </c>
      <c r="G42" s="503">
        <v>0</v>
      </c>
      <c r="H42" s="504"/>
      <c r="I42" s="275">
        <f t="shared" si="2"/>
        <v>0</v>
      </c>
      <c r="J42" s="503">
        <v>0</v>
      </c>
      <c r="K42" s="504"/>
      <c r="L42" s="275">
        <f t="shared" si="3"/>
        <v>0</v>
      </c>
      <c r="M42" s="578"/>
    </row>
    <row r="43" spans="1:13">
      <c r="A43" s="200" t="s">
        <v>1366</v>
      </c>
      <c r="B43" s="202" t="s">
        <v>1337</v>
      </c>
      <c r="C43" s="278">
        <v>321</v>
      </c>
      <c r="D43" s="278">
        <v>90</v>
      </c>
      <c r="E43" s="278" t="s">
        <v>1713</v>
      </c>
      <c r="F43" s="278" t="s">
        <v>1715</v>
      </c>
      <c r="G43" s="503">
        <v>0</v>
      </c>
      <c r="H43" s="504"/>
      <c r="I43" s="275">
        <f t="shared" si="2"/>
        <v>0</v>
      </c>
      <c r="J43" s="503">
        <v>0</v>
      </c>
      <c r="K43" s="504"/>
      <c r="L43" s="275">
        <f t="shared" si="3"/>
        <v>0</v>
      </c>
      <c r="M43" s="578"/>
    </row>
    <row r="44" spans="1:13">
      <c r="A44" s="200" t="s">
        <v>1367</v>
      </c>
      <c r="B44" s="202" t="s">
        <v>1338</v>
      </c>
      <c r="C44" s="278">
        <v>321</v>
      </c>
      <c r="D44" s="278">
        <v>91</v>
      </c>
      <c r="E44" s="278" t="s">
        <v>1713</v>
      </c>
      <c r="F44" s="278" t="s">
        <v>1715</v>
      </c>
      <c r="G44" s="503">
        <v>0</v>
      </c>
      <c r="H44" s="504"/>
      <c r="I44" s="275">
        <f t="shared" si="2"/>
        <v>0</v>
      </c>
      <c r="J44" s="503">
        <v>0</v>
      </c>
      <c r="K44" s="504"/>
      <c r="L44" s="275">
        <f t="shared" si="3"/>
        <v>0</v>
      </c>
      <c r="M44" s="578"/>
    </row>
    <row r="45" spans="1:13">
      <c r="A45" s="200" t="s">
        <v>1368</v>
      </c>
      <c r="B45" s="200" t="s">
        <v>1339</v>
      </c>
      <c r="C45" s="278">
        <v>321</v>
      </c>
      <c r="D45" s="278">
        <v>96</v>
      </c>
      <c r="E45" s="278" t="s">
        <v>1713</v>
      </c>
      <c r="F45" s="278" t="s">
        <v>1715</v>
      </c>
      <c r="G45" s="503">
        <v>25155011</v>
      </c>
      <c r="H45" s="504"/>
      <c r="I45" s="275">
        <f t="shared" si="2"/>
        <v>25155011</v>
      </c>
      <c r="J45" s="503">
        <v>18138797</v>
      </c>
      <c r="K45" s="504"/>
      <c r="L45" s="275">
        <f t="shared" si="3"/>
        <v>18138797</v>
      </c>
      <c r="M45" s="578"/>
    </row>
    <row r="46" spans="1:13">
      <c r="A46" s="200" t="s">
        <v>1340</v>
      </c>
      <c r="B46" s="200" t="s">
        <v>1341</v>
      </c>
      <c r="C46" s="278">
        <v>321</v>
      </c>
      <c r="D46" s="278">
        <v>112</v>
      </c>
      <c r="E46" s="278" t="s">
        <v>1713</v>
      </c>
      <c r="F46" s="278" t="s">
        <v>1715</v>
      </c>
      <c r="G46" s="503">
        <v>53805347</v>
      </c>
      <c r="H46" s="504"/>
      <c r="I46" s="275">
        <f t="shared" si="2"/>
        <v>53805347</v>
      </c>
      <c r="J46" s="503">
        <v>46763902</v>
      </c>
      <c r="K46" s="504"/>
      <c r="L46" s="275">
        <f>+J46+K46</f>
        <v>46763902</v>
      </c>
      <c r="M46" s="578"/>
    </row>
    <row r="47" spans="1:13">
      <c r="A47" s="200" t="s">
        <v>1342</v>
      </c>
      <c r="B47" s="200" t="s">
        <v>1343</v>
      </c>
      <c r="C47" s="278">
        <v>323</v>
      </c>
      <c r="D47" s="278">
        <v>185</v>
      </c>
      <c r="E47" s="278" t="s">
        <v>1713</v>
      </c>
      <c r="F47" s="278" t="s">
        <v>1715</v>
      </c>
      <c r="G47" s="503">
        <v>2899952</v>
      </c>
      <c r="H47" s="504"/>
      <c r="I47" s="275">
        <f t="shared" si="2"/>
        <v>2899952</v>
      </c>
      <c r="J47" s="503">
        <v>2966738</v>
      </c>
      <c r="K47" s="504"/>
      <c r="L47" s="275">
        <f t="shared" si="3"/>
        <v>2966738</v>
      </c>
      <c r="M47" s="578"/>
    </row>
    <row r="48" spans="1:13">
      <c r="A48" s="200" t="s">
        <v>1344</v>
      </c>
      <c r="B48" s="200" t="s">
        <v>1345</v>
      </c>
      <c r="C48" s="278">
        <v>323</v>
      </c>
      <c r="D48" s="278">
        <v>189</v>
      </c>
      <c r="E48" s="278" t="s">
        <v>1713</v>
      </c>
      <c r="F48" s="278" t="s">
        <v>1715</v>
      </c>
      <c r="G48" s="503">
        <v>36000614</v>
      </c>
      <c r="H48" s="504"/>
      <c r="I48" s="275">
        <f t="shared" si="2"/>
        <v>36000614</v>
      </c>
      <c r="J48" s="503">
        <v>42461100</v>
      </c>
      <c r="K48" s="504"/>
      <c r="L48" s="275">
        <f t="shared" si="3"/>
        <v>42461100</v>
      </c>
      <c r="M48" s="578"/>
    </row>
    <row r="49" spans="1:13">
      <c r="A49" s="200" t="s">
        <v>1346</v>
      </c>
      <c r="B49" s="200" t="s">
        <v>1347</v>
      </c>
      <c r="C49" s="278">
        <v>323</v>
      </c>
      <c r="D49" s="278">
        <v>197</v>
      </c>
      <c r="E49" s="278" t="s">
        <v>1713</v>
      </c>
      <c r="F49" s="278" t="s">
        <v>1715</v>
      </c>
      <c r="G49" s="503">
        <v>177866261</v>
      </c>
      <c r="H49" s="504"/>
      <c r="I49" s="275">
        <f t="shared" si="2"/>
        <v>177866261</v>
      </c>
      <c r="J49" s="503">
        <v>190506650</v>
      </c>
      <c r="K49" s="504"/>
      <c r="L49" s="275">
        <f>+J49+K49</f>
        <v>190506650</v>
      </c>
      <c r="M49" s="578"/>
    </row>
    <row r="50" spans="1:13">
      <c r="A50" s="200" t="s">
        <v>1348</v>
      </c>
      <c r="B50" s="200" t="s">
        <v>1349</v>
      </c>
      <c r="C50" s="278">
        <v>336</v>
      </c>
      <c r="D50" s="278">
        <v>1</v>
      </c>
      <c r="E50" s="278" t="s">
        <v>1714</v>
      </c>
      <c r="F50" s="278" t="s">
        <v>1721</v>
      </c>
      <c r="G50" s="503">
        <v>5563997</v>
      </c>
      <c r="H50" s="504"/>
      <c r="I50" s="275">
        <f t="shared" si="2"/>
        <v>5563997</v>
      </c>
      <c r="J50" s="503">
        <v>11735700</v>
      </c>
      <c r="K50" s="504"/>
      <c r="L50" s="275">
        <f t="shared" si="3"/>
        <v>11735700</v>
      </c>
      <c r="M50" s="578"/>
    </row>
    <row r="51" spans="1:13">
      <c r="A51" s="200" t="s">
        <v>1350</v>
      </c>
      <c r="B51" s="200" t="s">
        <v>1351</v>
      </c>
      <c r="C51" s="278">
        <v>336</v>
      </c>
      <c r="D51" s="278">
        <v>7</v>
      </c>
      <c r="E51" s="278" t="s">
        <v>1714</v>
      </c>
      <c r="F51" s="278" t="s">
        <v>1721</v>
      </c>
      <c r="G51" s="503">
        <v>44852381</v>
      </c>
      <c r="H51" s="503"/>
      <c r="I51" s="275">
        <f t="shared" si="2"/>
        <v>44852381</v>
      </c>
      <c r="J51" s="503">
        <v>50055374</v>
      </c>
      <c r="K51" s="503"/>
      <c r="L51" s="275">
        <f t="shared" si="3"/>
        <v>50055374</v>
      </c>
      <c r="M51" s="578"/>
    </row>
    <row r="52" spans="1:13">
      <c r="A52" s="200" t="s">
        <v>1352</v>
      </c>
      <c r="B52" s="200" t="s">
        <v>1353</v>
      </c>
      <c r="C52" s="278">
        <v>336</v>
      </c>
      <c r="D52" s="278">
        <v>10</v>
      </c>
      <c r="E52" s="278" t="s">
        <v>1714</v>
      </c>
      <c r="F52" s="278" t="s">
        <v>1721</v>
      </c>
      <c r="G52" s="503">
        <v>8917236</v>
      </c>
      <c r="H52" s="504"/>
      <c r="I52" s="275">
        <f>+G52+H52</f>
        <v>8917236</v>
      </c>
      <c r="J52" s="503">
        <v>10530753</v>
      </c>
      <c r="K52" s="504">
        <v>-315.06</v>
      </c>
      <c r="L52" s="275">
        <f>+J52+K52</f>
        <v>10530437.939999999</v>
      </c>
      <c r="M52" s="578" t="s">
        <v>1577</v>
      </c>
    </row>
    <row r="53" spans="1:13">
      <c r="A53" s="200" t="s">
        <v>1354</v>
      </c>
      <c r="B53" s="200" t="s">
        <v>1355</v>
      </c>
      <c r="C53" s="278">
        <v>354</v>
      </c>
      <c r="D53" s="278">
        <v>21</v>
      </c>
      <c r="E53" s="278" t="s">
        <v>1714</v>
      </c>
      <c r="F53" s="278" t="s">
        <v>1715</v>
      </c>
      <c r="G53" s="503">
        <v>6118158</v>
      </c>
      <c r="H53" s="504"/>
      <c r="I53" s="275">
        <f t="shared" si="2"/>
        <v>6118158</v>
      </c>
      <c r="J53" s="503">
        <v>5959361</v>
      </c>
      <c r="K53" s="504"/>
      <c r="L53" s="275">
        <f t="shared" si="3"/>
        <v>5959361</v>
      </c>
      <c r="M53" s="578"/>
    </row>
    <row r="54" spans="1:13">
      <c r="A54" s="200" t="s">
        <v>1356</v>
      </c>
      <c r="B54" s="200" t="s">
        <v>1357</v>
      </c>
      <c r="C54" s="278">
        <v>354</v>
      </c>
      <c r="D54" s="278">
        <v>27</v>
      </c>
      <c r="E54" s="278" t="s">
        <v>1714</v>
      </c>
      <c r="F54" s="278" t="s">
        <v>1715</v>
      </c>
      <c r="G54" s="503">
        <v>50945504</v>
      </c>
      <c r="H54" s="504"/>
      <c r="I54" s="275">
        <f t="shared" si="2"/>
        <v>50945504</v>
      </c>
      <c r="J54" s="503">
        <v>51288278</v>
      </c>
      <c r="K54" s="504"/>
      <c r="L54" s="275">
        <f t="shared" si="3"/>
        <v>51288278</v>
      </c>
      <c r="M54" s="578"/>
    </row>
    <row r="55" spans="1:13">
      <c r="A55" s="200" t="s">
        <v>1358</v>
      </c>
      <c r="B55" s="200" t="s">
        <v>1359</v>
      </c>
      <c r="C55" s="278">
        <v>354</v>
      </c>
      <c r="D55" s="278">
        <v>28</v>
      </c>
      <c r="E55" s="278" t="s">
        <v>1714</v>
      </c>
      <c r="F55" s="278" t="s">
        <v>1715</v>
      </c>
      <c r="G55" s="503">
        <v>121103343</v>
      </c>
      <c r="H55" s="504"/>
      <c r="I55" s="275">
        <f t="shared" si="2"/>
        <v>121103343</v>
      </c>
      <c r="J55" s="503">
        <v>127999987</v>
      </c>
      <c r="K55" s="504"/>
      <c r="L55" s="275">
        <f t="shared" si="3"/>
        <v>127999987</v>
      </c>
      <c r="M55" s="578"/>
    </row>
    <row r="56" spans="1:13">
      <c r="A56" s="200"/>
      <c r="B56" s="200"/>
      <c r="C56" s="278"/>
      <c r="D56" s="278"/>
      <c r="E56" s="278"/>
      <c r="F56" s="278"/>
      <c r="G56" s="274"/>
      <c r="H56" s="274"/>
      <c r="I56" s="274"/>
      <c r="J56" s="274"/>
      <c r="K56" s="201"/>
      <c r="L56" s="291"/>
    </row>
    <row r="57" spans="1:13">
      <c r="A57" s="519"/>
      <c r="B57" s="200"/>
      <c r="C57" s="278"/>
      <c r="D57" s="278"/>
      <c r="E57" s="278"/>
      <c r="F57" s="278"/>
      <c r="G57" s="274"/>
      <c r="H57" s="201"/>
      <c r="I57" s="291"/>
      <c r="J57" s="305"/>
      <c r="K57" s="201"/>
      <c r="L57" s="291"/>
    </row>
    <row r="58" spans="1:13">
      <c r="A58" s="200"/>
      <c r="B58" s="200"/>
      <c r="C58" s="278"/>
      <c r="D58" s="278"/>
      <c r="E58" s="278"/>
      <c r="F58" s="278"/>
      <c r="G58" s="274"/>
      <c r="H58" s="201"/>
      <c r="I58" s="291"/>
      <c r="J58" s="274"/>
      <c r="K58" s="201"/>
      <c r="L58" s="291"/>
    </row>
    <row r="59" spans="1:13">
      <c r="A59" s="200"/>
      <c r="B59" s="200"/>
      <c r="C59" s="278"/>
      <c r="D59" s="278"/>
      <c r="E59" s="278"/>
      <c r="F59" s="278"/>
      <c r="G59" s="274"/>
      <c r="H59" s="201"/>
      <c r="I59" s="291"/>
      <c r="J59" s="274"/>
      <c r="K59" s="201"/>
      <c r="L59" s="291"/>
    </row>
    <row r="60" spans="1:13">
      <c r="A60" s="200"/>
      <c r="B60" s="200"/>
      <c r="C60" s="278"/>
      <c r="D60" s="278"/>
      <c r="E60" s="278"/>
      <c r="F60" s="278"/>
      <c r="G60" s="274"/>
      <c r="H60" s="201"/>
      <c r="I60" s="291"/>
      <c r="J60" s="274"/>
      <c r="K60" s="201"/>
      <c r="L60" s="291"/>
    </row>
    <row r="61" spans="1:13">
      <c r="A61" s="200"/>
      <c r="B61" s="200"/>
      <c r="C61" s="278"/>
      <c r="D61" s="278"/>
      <c r="E61" s="278"/>
      <c r="F61" s="278"/>
      <c r="G61" s="274"/>
      <c r="H61" s="201"/>
      <c r="I61" s="291"/>
      <c r="J61" s="274"/>
      <c r="K61" s="201"/>
      <c r="L61" s="291"/>
    </row>
    <row r="62" spans="1:13">
      <c r="L62" s="292"/>
    </row>
    <row r="68" spans="9:12">
      <c r="I68" s="200"/>
      <c r="J68" s="200"/>
      <c r="K68" s="200"/>
      <c r="L68" s="200"/>
    </row>
    <row r="69" spans="9:12">
      <c r="I69" s="200"/>
      <c r="J69" s="200"/>
      <c r="K69" s="200"/>
      <c r="L69" s="200"/>
    </row>
    <row r="70" spans="9:12">
      <c r="I70" s="200"/>
      <c r="J70" s="200"/>
      <c r="K70" s="200"/>
      <c r="L70" s="200"/>
    </row>
    <row r="71" spans="9:12">
      <c r="I71" s="200"/>
      <c r="J71" s="200"/>
      <c r="K71" s="200"/>
      <c r="L71" s="200"/>
    </row>
    <row r="72" spans="9:12">
      <c r="I72" s="200"/>
      <c r="J72" s="200"/>
      <c r="K72" s="200"/>
      <c r="L72" s="200"/>
    </row>
    <row r="73" spans="9:12">
      <c r="I73" s="200"/>
      <c r="J73" s="200"/>
      <c r="K73" s="200"/>
      <c r="L73" s="200"/>
    </row>
    <row r="74" spans="9:12">
      <c r="I74" s="200"/>
      <c r="J74" s="200"/>
      <c r="K74" s="200"/>
      <c r="L74" s="200"/>
    </row>
    <row r="75" spans="9:12">
      <c r="I75" s="200"/>
      <c r="J75" s="200"/>
      <c r="K75" s="200"/>
      <c r="L75" s="200"/>
    </row>
    <row r="76" spans="9:12">
      <c r="I76" s="200"/>
      <c r="J76" s="200"/>
      <c r="K76" s="200"/>
      <c r="L76" s="200"/>
    </row>
    <row r="77" spans="9:12">
      <c r="I77" s="200"/>
      <c r="J77" s="200"/>
      <c r="K77" s="200"/>
      <c r="L77" s="200"/>
    </row>
    <row r="78" spans="9:12">
      <c r="I78" s="200"/>
      <c r="J78" s="200"/>
      <c r="K78" s="200"/>
      <c r="L78" s="200"/>
    </row>
    <row r="79" spans="9:12">
      <c r="I79" s="200"/>
      <c r="J79" s="200"/>
      <c r="K79" s="200"/>
      <c r="L79" s="200"/>
    </row>
    <row r="80" spans="9:12">
      <c r="I80" s="200"/>
      <c r="J80" s="200"/>
      <c r="K80" s="200"/>
      <c r="L80" s="200"/>
    </row>
    <row r="81" spans="9:12">
      <c r="I81" s="200"/>
      <c r="J81" s="200"/>
      <c r="K81" s="200"/>
      <c r="L81" s="200"/>
    </row>
    <row r="82" spans="9:12">
      <c r="I82" s="200"/>
      <c r="J82" s="200"/>
      <c r="K82" s="200"/>
      <c r="L82" s="200"/>
    </row>
    <row r="83" spans="9:12">
      <c r="I83" s="200"/>
      <c r="J83" s="200"/>
      <c r="K83" s="200"/>
      <c r="L83" s="200"/>
    </row>
    <row r="84" spans="9:12">
      <c r="I84" s="200"/>
      <c r="J84" s="200"/>
      <c r="K84" s="200"/>
      <c r="L84" s="200"/>
    </row>
    <row r="85" spans="9:12">
      <c r="I85" s="200"/>
      <c r="J85" s="200"/>
      <c r="K85" s="200"/>
      <c r="L85" s="200"/>
    </row>
    <row r="86" spans="9:12">
      <c r="I86" s="200"/>
      <c r="J86" s="200"/>
      <c r="K86" s="200"/>
      <c r="L86" s="200"/>
    </row>
    <row r="87" spans="9:12">
      <c r="I87" s="200"/>
      <c r="J87" s="200"/>
      <c r="K87" s="200"/>
      <c r="L87" s="200"/>
    </row>
    <row r="88" spans="9:12">
      <c r="I88" s="200"/>
      <c r="J88" s="200"/>
      <c r="K88" s="200"/>
      <c r="L88" s="200"/>
    </row>
    <row r="89" spans="9:12">
      <c r="I89" s="200"/>
      <c r="J89" s="200"/>
      <c r="K89" s="200"/>
      <c r="L89" s="200"/>
    </row>
    <row r="90" spans="9:12">
      <c r="I90" s="200"/>
      <c r="J90" s="200"/>
      <c r="K90" s="200"/>
      <c r="L90" s="200"/>
    </row>
    <row r="91" spans="9:12">
      <c r="I91" s="200"/>
      <c r="J91" s="200"/>
      <c r="K91" s="200"/>
      <c r="L91" s="200"/>
    </row>
    <row r="92" spans="9:12">
      <c r="I92" s="200"/>
      <c r="J92" s="200"/>
      <c r="K92" s="200"/>
      <c r="L92" s="200"/>
    </row>
    <row r="93" spans="9:12">
      <c r="I93" s="200"/>
      <c r="J93" s="200"/>
      <c r="K93" s="200"/>
      <c r="L93" s="200"/>
    </row>
    <row r="94" spans="9:12">
      <c r="I94" s="200"/>
      <c r="J94" s="200"/>
      <c r="K94" s="200"/>
      <c r="L94" s="200"/>
    </row>
    <row r="95" spans="9:12">
      <c r="I95" s="200"/>
      <c r="J95" s="200"/>
      <c r="K95" s="200"/>
      <c r="L95" s="200"/>
    </row>
    <row r="96" spans="9:12">
      <c r="I96" s="200"/>
      <c r="J96" s="200"/>
      <c r="K96" s="200"/>
      <c r="L96" s="200"/>
    </row>
    <row r="97" spans="9:12">
      <c r="I97" s="200"/>
      <c r="J97" s="200"/>
      <c r="K97" s="200"/>
      <c r="L97" s="200"/>
    </row>
  </sheetData>
  <printOptions horizontalCentered="1"/>
  <pageMargins left="0.45" right="0.45" top="0.75" bottom="0.75" header="0.3" footer="0.3"/>
  <pageSetup scale="38" orientation="landscape" r:id="rId1"/>
  <colBreaks count="1" manualBreakCount="1">
    <brk id="4"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10"/>
  <sheetViews>
    <sheetView workbookViewId="0">
      <selection activeCell="J184" sqref="J184"/>
    </sheetView>
  </sheetViews>
  <sheetFormatPr defaultColWidth="8.85546875" defaultRowHeight="15"/>
  <cols>
    <col min="1" max="1" width="2.28515625" customWidth="1"/>
    <col min="2" max="2" width="3.85546875" customWidth="1"/>
    <col min="3" max="3" width="34.5703125" customWidth="1"/>
    <col min="4" max="4" width="45.85546875" bestFit="1" customWidth="1"/>
    <col min="6" max="6" width="17" style="3" customWidth="1"/>
    <col min="7" max="7" width="4.140625" style="131" customWidth="1"/>
    <col min="8" max="8" width="23.7109375" style="131" bestFit="1" customWidth="1"/>
    <col min="9" max="9" width="4.140625" style="131" customWidth="1"/>
    <col min="10" max="10" width="28.140625" style="131" bestFit="1" customWidth="1"/>
    <col min="11" max="11" width="7.5703125" style="131" customWidth="1"/>
    <col min="12" max="12" width="28.140625" style="131" customWidth="1"/>
    <col min="13" max="13" width="4.140625" style="131" customWidth="1"/>
    <col min="14" max="14" width="19.28515625" style="131" bestFit="1" customWidth="1"/>
    <col min="15" max="15" width="4.85546875" style="131" customWidth="1"/>
    <col min="16" max="16" width="17" bestFit="1" customWidth="1"/>
    <col min="17" max="17" width="22.140625" bestFit="1" customWidth="1"/>
    <col min="18" max="18" width="12.85546875" bestFit="1" customWidth="1"/>
    <col min="19" max="19" width="14" bestFit="1" customWidth="1"/>
    <col min="20" max="20" width="9.7109375" bestFit="1" customWidth="1"/>
    <col min="21" max="22" width="11.28515625" bestFit="1" customWidth="1"/>
  </cols>
  <sheetData>
    <row r="1" spans="1:22">
      <c r="A1" s="1" t="s">
        <v>0</v>
      </c>
    </row>
    <row r="2" spans="1:22">
      <c r="A2" s="1" t="s">
        <v>8</v>
      </c>
    </row>
    <row r="3" spans="1:22" ht="15.75" thickBot="1"/>
    <row r="4" spans="1:22">
      <c r="B4" s="5" t="s">
        <v>49</v>
      </c>
      <c r="C4" s="6"/>
      <c r="D4" s="6"/>
      <c r="E4" s="6"/>
      <c r="F4" s="7"/>
      <c r="G4" s="83"/>
      <c r="H4" s="83"/>
      <c r="I4" s="83"/>
      <c r="J4" s="83"/>
      <c r="K4" s="83"/>
      <c r="L4" s="83"/>
      <c r="M4" s="83"/>
      <c r="N4" s="83"/>
      <c r="O4" s="83"/>
      <c r="P4" s="6"/>
      <c r="Q4" s="8"/>
    </row>
    <row r="5" spans="1:22" ht="30">
      <c r="B5" s="9"/>
      <c r="C5" s="1" t="s">
        <v>2</v>
      </c>
      <c r="F5" s="10"/>
      <c r="G5" s="73"/>
      <c r="H5" s="236"/>
      <c r="I5" s="73"/>
      <c r="J5" s="73"/>
      <c r="K5" s="73"/>
      <c r="L5" s="456" t="s">
        <v>1576</v>
      </c>
      <c r="M5" s="73"/>
      <c r="N5" s="236"/>
      <c r="O5" s="73"/>
      <c r="Q5" s="11"/>
    </row>
    <row r="6" spans="1:22">
      <c r="B6" s="9"/>
      <c r="C6" s="12" t="s">
        <v>10</v>
      </c>
      <c r="D6" s="12" t="s">
        <v>11</v>
      </c>
      <c r="E6" s="12"/>
      <c r="F6" s="13" t="s">
        <v>12</v>
      </c>
      <c r="G6" s="133"/>
      <c r="H6" s="133" t="s">
        <v>989</v>
      </c>
      <c r="I6" s="133"/>
      <c r="J6" s="133" t="s">
        <v>1452</v>
      </c>
      <c r="K6" s="133"/>
      <c r="L6" s="457" t="s">
        <v>1572</v>
      </c>
      <c r="M6" s="133"/>
      <c r="N6" s="133" t="s">
        <v>566</v>
      </c>
      <c r="O6" s="133"/>
      <c r="P6" s="1" t="s">
        <v>543</v>
      </c>
      <c r="Q6" s="11"/>
      <c r="S6" s="3"/>
      <c r="T6" s="3"/>
      <c r="U6" s="3"/>
      <c r="V6" s="3"/>
    </row>
    <row r="7" spans="1:22">
      <c r="B7" s="9"/>
      <c r="C7" t="s">
        <v>13</v>
      </c>
      <c r="D7" t="s">
        <v>26</v>
      </c>
      <c r="E7">
        <v>2023</v>
      </c>
      <c r="F7" s="73">
        <f>+'FERC Form 1 Inputs'!I21</f>
        <v>1811833438</v>
      </c>
      <c r="G7" s="73"/>
      <c r="H7" s="84">
        <f>'Schedule 1C - Settlement Adjust'!F196+'Schedule 1C - Settlement Adjust'!F369+'Schedule 1C - Settlement Adjust'!F541</f>
        <v>-2356808.0921250009</v>
      </c>
      <c r="I7" s="73"/>
      <c r="J7" s="84">
        <v>0</v>
      </c>
      <c r="K7" s="73"/>
      <c r="L7" s="84">
        <v>0</v>
      </c>
      <c r="M7" s="73"/>
      <c r="N7" s="84">
        <f>+'Schedule 13 Direct Assignment'!M11</f>
        <v>411143673.79380262</v>
      </c>
      <c r="O7" s="73"/>
      <c r="P7" s="47">
        <f>+F7+H7+J7+L7-N7</f>
        <v>1398332956.1140723</v>
      </c>
      <c r="Q7" s="132"/>
      <c r="S7" s="3"/>
      <c r="T7" s="3"/>
      <c r="U7" s="3"/>
      <c r="V7" s="3"/>
    </row>
    <row r="8" spans="1:22">
      <c r="B8" s="9"/>
      <c r="C8" t="s">
        <v>14</v>
      </c>
      <c r="D8" t="s">
        <v>27</v>
      </c>
      <c r="E8">
        <v>2024</v>
      </c>
      <c r="F8" s="84">
        <v>1829293392.3400002</v>
      </c>
      <c r="G8" s="73"/>
      <c r="H8" s="84">
        <f>'Schedule 1C - Settlement Adjust'!F197+'Schedule 1C - Settlement Adjust'!F370+'Schedule 1C - Settlement Adjust'!F542</f>
        <v>-2356808.0921250009</v>
      </c>
      <c r="I8" s="73"/>
      <c r="J8" s="84">
        <v>0</v>
      </c>
      <c r="K8" s="73"/>
      <c r="L8" s="84">
        <v>0</v>
      </c>
      <c r="M8" s="73"/>
      <c r="N8" s="84">
        <f>+'Schedule 13 Direct Assignment'!M12</f>
        <v>411143673.79380262</v>
      </c>
      <c r="O8" s="73"/>
      <c r="P8" s="47">
        <f t="shared" ref="P8:P19" si="0">+F8+H8+J8+L8-N8</f>
        <v>1415792910.4540725</v>
      </c>
      <c r="Q8" s="132"/>
      <c r="S8" s="3"/>
      <c r="T8" s="3"/>
      <c r="U8" s="3"/>
      <c r="V8" s="3"/>
    </row>
    <row r="9" spans="1:22">
      <c r="B9" s="9"/>
      <c r="C9" t="s">
        <v>15</v>
      </c>
      <c r="D9" t="s">
        <v>27</v>
      </c>
      <c r="E9">
        <v>2024</v>
      </c>
      <c r="F9" s="84">
        <v>1831662228.8199999</v>
      </c>
      <c r="G9" s="73"/>
      <c r="H9" s="84">
        <f>'Schedule 1C - Settlement Adjust'!F198+'Schedule 1C - Settlement Adjust'!F371+'Schedule 1C - Settlement Adjust'!F543</f>
        <v>-2356808.0921250009</v>
      </c>
      <c r="I9" s="73"/>
      <c r="J9" s="84">
        <v>0</v>
      </c>
      <c r="K9" s="73"/>
      <c r="L9" s="84">
        <v>0</v>
      </c>
      <c r="M9" s="73"/>
      <c r="N9" s="84">
        <f>+'Schedule 13 Direct Assignment'!M13</f>
        <v>411143673.79380262</v>
      </c>
      <c r="O9" s="73"/>
      <c r="P9" s="47">
        <f t="shared" si="0"/>
        <v>1418161746.9340725</v>
      </c>
      <c r="Q9" s="132"/>
      <c r="S9" s="3"/>
      <c r="T9" s="3"/>
      <c r="U9" s="3"/>
      <c r="V9" s="3"/>
    </row>
    <row r="10" spans="1:22">
      <c r="B10" s="9"/>
      <c r="C10" t="s">
        <v>16</v>
      </c>
      <c r="D10" t="s">
        <v>27</v>
      </c>
      <c r="E10">
        <v>2024</v>
      </c>
      <c r="F10" s="84">
        <v>1840663309.1399994</v>
      </c>
      <c r="G10" s="73"/>
      <c r="H10" s="84">
        <f>'Schedule 1C - Settlement Adjust'!F199+'Schedule 1C - Settlement Adjust'!F372+'Schedule 1C - Settlement Adjust'!F544</f>
        <v>-2356808.0921250009</v>
      </c>
      <c r="I10" s="73"/>
      <c r="J10" s="84">
        <v>0</v>
      </c>
      <c r="K10" s="73"/>
      <c r="L10" s="84">
        <v>0</v>
      </c>
      <c r="M10" s="73"/>
      <c r="N10" s="84">
        <f>+'Schedule 13 Direct Assignment'!M14</f>
        <v>411143673.79380262</v>
      </c>
      <c r="O10" s="73"/>
      <c r="P10" s="47">
        <f t="shared" si="0"/>
        <v>1427162827.2540717</v>
      </c>
      <c r="Q10" s="132"/>
      <c r="S10" s="3"/>
      <c r="T10" s="3"/>
      <c r="U10" s="3"/>
      <c r="V10" s="3"/>
    </row>
    <row r="11" spans="1:22">
      <c r="B11" s="9"/>
      <c r="C11" t="s">
        <v>17</v>
      </c>
      <c r="D11" t="s">
        <v>27</v>
      </c>
      <c r="E11">
        <v>2024</v>
      </c>
      <c r="F11" s="84">
        <v>1853704278.3599997</v>
      </c>
      <c r="G11" s="73"/>
      <c r="H11" s="84">
        <f>'Schedule 1C - Settlement Adjust'!F200+'Schedule 1C - Settlement Adjust'!F373+'Schedule 1C - Settlement Adjust'!F545</f>
        <v>-2356808.0921250009</v>
      </c>
      <c r="I11" s="73"/>
      <c r="J11" s="84">
        <v>0</v>
      </c>
      <c r="K11" s="73"/>
      <c r="L11" s="84">
        <v>0</v>
      </c>
      <c r="M11" s="73"/>
      <c r="N11" s="84">
        <f>+'Schedule 13 Direct Assignment'!M15</f>
        <v>411143673.79380256</v>
      </c>
      <c r="O11" s="73"/>
      <c r="P11" s="47">
        <f t="shared" si="0"/>
        <v>1440203796.4740722</v>
      </c>
      <c r="Q11" s="132"/>
      <c r="S11" s="3"/>
      <c r="T11" s="3"/>
      <c r="U11" s="3"/>
      <c r="V11" s="3"/>
    </row>
    <row r="12" spans="1:22">
      <c r="B12" s="9"/>
      <c r="C12" t="s">
        <v>18</v>
      </c>
      <c r="D12" t="s">
        <v>27</v>
      </c>
      <c r="E12">
        <v>2024</v>
      </c>
      <c r="F12" s="84">
        <v>1890168531.0600002</v>
      </c>
      <c r="G12" s="73"/>
      <c r="H12" s="84">
        <f>'Schedule 1C - Settlement Adjust'!F201+'Schedule 1C - Settlement Adjust'!F374+'Schedule 1C - Settlement Adjust'!F546</f>
        <v>-2356808.0921250009</v>
      </c>
      <c r="I12" s="73"/>
      <c r="J12" s="84">
        <v>0</v>
      </c>
      <c r="K12" s="73"/>
      <c r="L12" s="84">
        <v>0</v>
      </c>
      <c r="M12" s="73"/>
      <c r="N12" s="84">
        <f>+'Schedule 13 Direct Assignment'!M16</f>
        <v>412706983.34380257</v>
      </c>
      <c r="O12" s="73"/>
      <c r="P12" s="47">
        <f t="shared" si="0"/>
        <v>1475104739.6240726</v>
      </c>
      <c r="Q12" s="132"/>
      <c r="S12" s="3"/>
      <c r="T12" s="3"/>
      <c r="U12" s="3"/>
      <c r="V12" s="3"/>
    </row>
    <row r="13" spans="1:22">
      <c r="B13" s="9"/>
      <c r="C13" t="s">
        <v>19</v>
      </c>
      <c r="D13" t="s">
        <v>27</v>
      </c>
      <c r="E13">
        <v>2024</v>
      </c>
      <c r="F13" s="84">
        <v>1927293670.9400008</v>
      </c>
      <c r="G13" s="73"/>
      <c r="H13" s="84">
        <f>'Schedule 1C - Settlement Adjust'!F202+'Schedule 1C - Settlement Adjust'!F375+'Schedule 1C - Settlement Adjust'!F547</f>
        <v>-2356808.0921250009</v>
      </c>
      <c r="I13" s="73"/>
      <c r="J13" s="84">
        <v>0</v>
      </c>
      <c r="K13" s="73"/>
      <c r="L13" s="84">
        <v>0</v>
      </c>
      <c r="M13" s="73"/>
      <c r="N13" s="84">
        <f>+'Schedule 13 Direct Assignment'!M17</f>
        <v>412706983.34380257</v>
      </c>
      <c r="O13" s="73"/>
      <c r="P13" s="47">
        <f t="shared" si="0"/>
        <v>1512229879.5040731</v>
      </c>
      <c r="Q13" s="132"/>
      <c r="S13" s="3"/>
      <c r="T13" s="3"/>
      <c r="U13" s="3"/>
      <c r="V13" s="3"/>
    </row>
    <row r="14" spans="1:22">
      <c r="B14" s="9"/>
      <c r="C14" t="s">
        <v>20</v>
      </c>
      <c r="D14" t="s">
        <v>27</v>
      </c>
      <c r="E14">
        <v>2024</v>
      </c>
      <c r="F14" s="84">
        <v>1961313994.7000005</v>
      </c>
      <c r="G14" s="73"/>
      <c r="H14" s="84">
        <f>'Schedule 1C - Settlement Adjust'!F203+'Schedule 1C - Settlement Adjust'!F376+'Schedule 1C - Settlement Adjust'!F548</f>
        <v>-2356808.0921250009</v>
      </c>
      <c r="I14" s="73"/>
      <c r="J14" s="84">
        <v>0</v>
      </c>
      <c r="K14" s="73"/>
      <c r="L14" s="84">
        <v>0</v>
      </c>
      <c r="M14" s="73"/>
      <c r="N14" s="84">
        <f>+'Schedule 13 Direct Assignment'!M18</f>
        <v>412706983.34380257</v>
      </c>
      <c r="O14" s="73"/>
      <c r="P14" s="47">
        <f t="shared" si="0"/>
        <v>1546250203.2640729</v>
      </c>
      <c r="Q14" s="132"/>
      <c r="S14" s="3"/>
      <c r="T14" s="3"/>
      <c r="U14" s="3"/>
      <c r="V14" s="3"/>
    </row>
    <row r="15" spans="1:22">
      <c r="B15" s="9"/>
      <c r="C15" t="s">
        <v>21</v>
      </c>
      <c r="D15" t="s">
        <v>27</v>
      </c>
      <c r="E15">
        <v>2024</v>
      </c>
      <c r="F15" s="84">
        <v>1987698946.2700007</v>
      </c>
      <c r="G15" s="73"/>
      <c r="H15" s="84">
        <f>'Schedule 1C - Settlement Adjust'!F204+'Schedule 1C - Settlement Adjust'!F377+'Schedule 1C - Settlement Adjust'!F549</f>
        <v>-2356808.0921250009</v>
      </c>
      <c r="I15" s="73"/>
      <c r="J15" s="84">
        <v>0</v>
      </c>
      <c r="K15" s="73"/>
      <c r="L15" s="84">
        <v>0</v>
      </c>
      <c r="M15" s="73"/>
      <c r="N15" s="84">
        <f>+'Schedule 13 Direct Assignment'!M19</f>
        <v>412706983.34380257</v>
      </c>
      <c r="O15" s="73"/>
      <c r="P15" s="47">
        <f t="shared" si="0"/>
        <v>1572635154.8340731</v>
      </c>
      <c r="Q15" s="132"/>
      <c r="S15" s="3"/>
      <c r="T15" s="3"/>
      <c r="U15" s="3"/>
      <c r="V15" s="3"/>
    </row>
    <row r="16" spans="1:22">
      <c r="B16" s="9"/>
      <c r="C16" t="s">
        <v>22</v>
      </c>
      <c r="D16" t="s">
        <v>27</v>
      </c>
      <c r="E16">
        <v>2024</v>
      </c>
      <c r="F16" s="84">
        <v>1998179705.5200005</v>
      </c>
      <c r="G16" s="73"/>
      <c r="H16" s="84">
        <f>'Schedule 1C - Settlement Adjust'!F205+'Schedule 1C - Settlement Adjust'!F378+'Schedule 1C - Settlement Adjust'!F550</f>
        <v>-2356808.0921250009</v>
      </c>
      <c r="I16" s="73"/>
      <c r="J16" s="84">
        <v>0</v>
      </c>
      <c r="K16" s="73"/>
      <c r="L16" s="84">
        <v>0</v>
      </c>
      <c r="M16" s="73"/>
      <c r="N16" s="84">
        <f>+'Schedule 13 Direct Assignment'!M20</f>
        <v>412706983.34380257</v>
      </c>
      <c r="O16" s="73"/>
      <c r="P16" s="47">
        <f t="shared" si="0"/>
        <v>1583115914.0840731</v>
      </c>
      <c r="Q16" s="132"/>
      <c r="S16" s="3"/>
      <c r="T16" s="3"/>
      <c r="U16" s="3"/>
      <c r="V16" s="3"/>
    </row>
    <row r="17" spans="2:22">
      <c r="B17" s="9"/>
      <c r="C17" t="s">
        <v>23</v>
      </c>
      <c r="D17" t="s">
        <v>27</v>
      </c>
      <c r="E17">
        <v>2024</v>
      </c>
      <c r="F17" s="84">
        <v>2008612689.7200005</v>
      </c>
      <c r="G17" s="73"/>
      <c r="H17" s="84">
        <f>'Schedule 1C - Settlement Adjust'!F206+'Schedule 1C - Settlement Adjust'!F379+'Schedule 1C - Settlement Adjust'!F551</f>
        <v>-2356808.0921250009</v>
      </c>
      <c r="I17" s="73"/>
      <c r="J17" s="84">
        <v>0</v>
      </c>
      <c r="K17" s="73"/>
      <c r="L17" s="84">
        <v>0</v>
      </c>
      <c r="M17" s="73"/>
      <c r="N17" s="84">
        <f>+'Schedule 13 Direct Assignment'!M21</f>
        <v>412706983.34380257</v>
      </c>
      <c r="O17" s="73"/>
      <c r="P17" s="47">
        <f t="shared" si="0"/>
        <v>1593548898.2840729</v>
      </c>
      <c r="Q17" s="132"/>
      <c r="S17" s="3"/>
      <c r="T17" s="3"/>
      <c r="U17" s="3"/>
      <c r="V17" s="3"/>
    </row>
    <row r="18" spans="2:22">
      <c r="B18" s="9"/>
      <c r="C18" t="s">
        <v>24</v>
      </c>
      <c r="D18" t="s">
        <v>27</v>
      </c>
      <c r="E18">
        <v>2024</v>
      </c>
      <c r="F18" s="84">
        <v>2033936823.4000006</v>
      </c>
      <c r="G18" s="73"/>
      <c r="H18" s="84">
        <f>'Schedule 1C - Settlement Adjust'!F207+'Schedule 1C - Settlement Adjust'!F380+'Schedule 1C - Settlement Adjust'!F552</f>
        <v>-2356808.0921250009</v>
      </c>
      <c r="I18" s="73"/>
      <c r="J18" s="84">
        <v>0</v>
      </c>
      <c r="K18" s="73"/>
      <c r="L18" s="84">
        <v>0</v>
      </c>
      <c r="M18" s="73"/>
      <c r="N18" s="84">
        <f>+'Schedule 13 Direct Assignment'!M22</f>
        <v>412693724.60380256</v>
      </c>
      <c r="O18" s="73"/>
      <c r="P18" s="47">
        <f t="shared" si="0"/>
        <v>1618886290.704073</v>
      </c>
      <c r="Q18" s="132"/>
      <c r="S18" s="3"/>
      <c r="T18" s="3"/>
      <c r="U18" s="3"/>
      <c r="V18" s="3"/>
    </row>
    <row r="19" spans="2:22">
      <c r="B19" s="9"/>
      <c r="C19" t="s">
        <v>13</v>
      </c>
      <c r="D19" t="s">
        <v>25</v>
      </c>
      <c r="E19">
        <v>2024</v>
      </c>
      <c r="F19" s="494">
        <f>+'FERC Form 1 Inputs'!L21</f>
        <v>2112147437</v>
      </c>
      <c r="G19" s="26"/>
      <c r="H19" s="84">
        <f>'Schedule 1C - Settlement Adjust'!F208+'Schedule 1C - Settlement Adjust'!F381+'Schedule 1C - Settlement Adjust'!F553</f>
        <v>-2356808.0921250009</v>
      </c>
      <c r="I19" s="26"/>
      <c r="J19" s="84">
        <v>0</v>
      </c>
      <c r="K19" s="73"/>
      <c r="L19" s="84">
        <v>0</v>
      </c>
      <c r="M19" s="26"/>
      <c r="N19" s="277">
        <f>+'Schedule 13 Direct Assignment'!M23</f>
        <v>412693724.60380256</v>
      </c>
      <c r="O19" s="26"/>
      <c r="P19" s="47">
        <f t="shared" si="0"/>
        <v>1697096904.3040724</v>
      </c>
      <c r="Q19" s="132"/>
      <c r="S19" s="3"/>
      <c r="T19" s="3"/>
      <c r="U19" s="3"/>
    </row>
    <row r="20" spans="2:22">
      <c r="B20" s="9"/>
      <c r="C20" s="1" t="s">
        <v>28</v>
      </c>
      <c r="F20" s="10">
        <f>AVERAGE(F7:F19)</f>
        <v>1929731418.8669233</v>
      </c>
      <c r="G20" s="73"/>
      <c r="H20" s="252">
        <f>AVERAGE(H7:H19)</f>
        <v>-2356808.0921250014</v>
      </c>
      <c r="I20" s="73"/>
      <c r="J20" s="252">
        <f>AVERAGE(J7:J19)</f>
        <v>0</v>
      </c>
      <c r="K20" s="73"/>
      <c r="L20" s="252">
        <f>AVERAGE(L7:L19)</f>
        <v>0</v>
      </c>
      <c r="M20" s="73"/>
      <c r="N20" s="10">
        <f>AVERAGE(N7:N19)</f>
        <v>412103670.63380253</v>
      </c>
      <c r="O20" s="73"/>
      <c r="P20" s="335">
        <f>AVERAGE(P7:P19)</f>
        <v>1515270940.1409955</v>
      </c>
      <c r="Q20" s="11" t="s">
        <v>577</v>
      </c>
      <c r="R20" s="47"/>
      <c r="S20" s="47"/>
      <c r="T20" s="47"/>
      <c r="U20" s="47"/>
      <c r="V20" s="47"/>
    </row>
    <row r="21" spans="2:22">
      <c r="B21" s="9"/>
      <c r="F21" s="73"/>
      <c r="G21" s="73"/>
      <c r="H21" s="73"/>
      <c r="I21" s="73"/>
      <c r="J21" s="270"/>
      <c r="K21" s="270"/>
      <c r="L21" s="270"/>
      <c r="M21" s="73"/>
      <c r="N21" s="270"/>
      <c r="O21" s="73"/>
      <c r="P21" s="47"/>
      <c r="Q21" s="11"/>
    </row>
    <row r="22" spans="2:22" ht="30">
      <c r="B22" s="9"/>
      <c r="C22" s="1" t="s">
        <v>30</v>
      </c>
      <c r="F22" s="10"/>
      <c r="G22" s="73"/>
      <c r="H22" s="73"/>
      <c r="I22" s="73"/>
      <c r="J22" s="73"/>
      <c r="K22" s="73"/>
      <c r="L22" s="456" t="s">
        <v>1708</v>
      </c>
      <c r="M22" s="73"/>
      <c r="N22" s="73"/>
      <c r="O22" s="73"/>
      <c r="Q22" s="11"/>
    </row>
    <row r="23" spans="2:22">
      <c r="B23" s="9"/>
      <c r="C23" s="12" t="s">
        <v>10</v>
      </c>
      <c r="D23" s="12" t="s">
        <v>11</v>
      </c>
      <c r="E23" s="12"/>
      <c r="F23" s="13" t="s">
        <v>12</v>
      </c>
      <c r="G23" s="133"/>
      <c r="H23" s="133" t="str">
        <f>+H6</f>
        <v>Settlement Adjustment</v>
      </c>
      <c r="I23" s="133"/>
      <c r="J23" s="133" t="str">
        <f>+J6</f>
        <v>Remove Right of Use Asset</v>
      </c>
      <c r="K23" s="133"/>
      <c r="L23" s="457" t="s">
        <v>1572</v>
      </c>
      <c r="M23" s="133"/>
      <c r="N23" s="133" t="str">
        <f>+N6</f>
        <v>Direct Assignment</v>
      </c>
      <c r="O23" s="133"/>
      <c r="P23" s="1" t="s">
        <v>543</v>
      </c>
      <c r="Q23" s="11"/>
    </row>
    <row r="24" spans="2:22">
      <c r="B24" s="9"/>
      <c r="C24" t="s">
        <v>13</v>
      </c>
      <c r="D24" t="s">
        <v>31</v>
      </c>
      <c r="E24">
        <v>2023</v>
      </c>
      <c r="F24" s="73">
        <f>+'FERC Form 1 Inputs'!I22</f>
        <v>1981936272</v>
      </c>
      <c r="G24" s="73"/>
      <c r="H24" s="84">
        <v>0</v>
      </c>
      <c r="I24" s="73"/>
      <c r="J24" s="84">
        <v>0</v>
      </c>
      <c r="K24" s="73"/>
      <c r="L24" s="84">
        <v>-14202.01</v>
      </c>
      <c r="M24" s="73"/>
      <c r="N24" s="84">
        <v>0</v>
      </c>
      <c r="O24" s="73"/>
      <c r="P24" s="47">
        <f>+F24+H24+J24+L24-N24</f>
        <v>1981922069.99</v>
      </c>
      <c r="Q24" s="132"/>
    </row>
    <row r="25" spans="2:22">
      <c r="B25" s="9"/>
      <c r="C25" t="s">
        <v>14</v>
      </c>
      <c r="D25" t="s">
        <v>27</v>
      </c>
      <c r="E25">
        <v>2024</v>
      </c>
      <c r="F25" s="84">
        <v>1988899103.6700001</v>
      </c>
      <c r="G25" s="73"/>
      <c r="H25" s="84">
        <v>0</v>
      </c>
      <c r="I25" s="73"/>
      <c r="J25" s="84">
        <v>0</v>
      </c>
      <c r="K25" s="73"/>
      <c r="L25" s="84">
        <v>-14202.01</v>
      </c>
      <c r="M25" s="73"/>
      <c r="N25" s="84">
        <v>0</v>
      </c>
      <c r="O25" s="73"/>
      <c r="P25" s="47">
        <f t="shared" ref="P25:P36" si="1">+F25+H25+J25+L25-N25</f>
        <v>1988884901.6600001</v>
      </c>
      <c r="Q25" s="132"/>
    </row>
    <row r="26" spans="2:22">
      <c r="B26" s="9"/>
      <c r="C26" t="s">
        <v>15</v>
      </c>
      <c r="D26" t="s">
        <v>27</v>
      </c>
      <c r="E26">
        <v>2024</v>
      </c>
      <c r="F26" s="84">
        <v>1996384302.4800003</v>
      </c>
      <c r="G26" s="73"/>
      <c r="H26" s="84">
        <v>0</v>
      </c>
      <c r="I26" s="73"/>
      <c r="J26" s="84">
        <v>0</v>
      </c>
      <c r="K26" s="73"/>
      <c r="L26" s="84">
        <v>-14202.01</v>
      </c>
      <c r="M26" s="73"/>
      <c r="N26" s="84">
        <v>0</v>
      </c>
      <c r="O26" s="73"/>
      <c r="P26" s="47">
        <f t="shared" si="1"/>
        <v>1996370100.4700003</v>
      </c>
      <c r="Q26" s="132"/>
    </row>
    <row r="27" spans="2:22">
      <c r="B27" s="9"/>
      <c r="C27" t="s">
        <v>16</v>
      </c>
      <c r="D27" t="s">
        <v>27</v>
      </c>
      <c r="E27">
        <v>2024</v>
      </c>
      <c r="F27" s="84">
        <v>2011128541.75</v>
      </c>
      <c r="G27" s="73"/>
      <c r="H27" s="84">
        <v>0</v>
      </c>
      <c r="I27" s="73"/>
      <c r="J27" s="84">
        <v>0</v>
      </c>
      <c r="K27" s="73"/>
      <c r="L27" s="84">
        <v>-14202.01</v>
      </c>
      <c r="M27" s="73"/>
      <c r="N27" s="84">
        <v>0</v>
      </c>
      <c r="O27" s="73"/>
      <c r="P27" s="47">
        <f t="shared" si="1"/>
        <v>2011114339.74</v>
      </c>
      <c r="Q27" s="132"/>
    </row>
    <row r="28" spans="2:22">
      <c r="B28" s="9"/>
      <c r="C28" t="s">
        <v>17</v>
      </c>
      <c r="D28" t="s">
        <v>27</v>
      </c>
      <c r="E28">
        <v>2024</v>
      </c>
      <c r="F28" s="84">
        <v>2024570313.9000006</v>
      </c>
      <c r="G28" s="73"/>
      <c r="H28" s="84">
        <v>0</v>
      </c>
      <c r="I28" s="73"/>
      <c r="J28" s="84">
        <v>0</v>
      </c>
      <c r="K28" s="73"/>
      <c r="L28" s="84">
        <v>-14202.01</v>
      </c>
      <c r="M28" s="73"/>
      <c r="N28" s="84">
        <v>0</v>
      </c>
      <c r="O28" s="73"/>
      <c r="P28" s="47">
        <f t="shared" si="1"/>
        <v>2024556111.8900006</v>
      </c>
      <c r="Q28" s="132"/>
    </row>
    <row r="29" spans="2:22">
      <c r="B29" s="9"/>
      <c r="C29" t="s">
        <v>18</v>
      </c>
      <c r="D29" t="s">
        <v>27</v>
      </c>
      <c r="E29">
        <v>2024</v>
      </c>
      <c r="F29" s="84">
        <v>2035054198.7500005</v>
      </c>
      <c r="G29" s="73"/>
      <c r="H29" s="84">
        <v>0</v>
      </c>
      <c r="I29" s="73"/>
      <c r="J29" s="84">
        <v>0</v>
      </c>
      <c r="K29" s="73"/>
      <c r="L29" s="84">
        <v>-14202.01</v>
      </c>
      <c r="M29" s="73"/>
      <c r="N29" s="84">
        <v>0</v>
      </c>
      <c r="O29" s="73"/>
      <c r="P29" s="47">
        <f t="shared" si="1"/>
        <v>2035039996.7400005</v>
      </c>
      <c r="Q29" s="132"/>
    </row>
    <row r="30" spans="2:22">
      <c r="B30" s="9"/>
      <c r="C30" t="s">
        <v>19</v>
      </c>
      <c r="D30" t="s">
        <v>27</v>
      </c>
      <c r="E30">
        <v>2024</v>
      </c>
      <c r="F30" s="84">
        <v>2040047358.6400003</v>
      </c>
      <c r="G30" s="73"/>
      <c r="H30" s="84">
        <v>0</v>
      </c>
      <c r="I30" s="73"/>
      <c r="J30" s="84">
        <v>0</v>
      </c>
      <c r="K30" s="73"/>
      <c r="L30" s="84">
        <v>-14202.01</v>
      </c>
      <c r="M30" s="73"/>
      <c r="N30" s="84">
        <v>0</v>
      </c>
      <c r="O30" s="73"/>
      <c r="P30" s="47">
        <f t="shared" si="1"/>
        <v>2040033156.6300004</v>
      </c>
      <c r="Q30" s="132"/>
    </row>
    <row r="31" spans="2:22">
      <c r="B31" s="9"/>
      <c r="C31" t="s">
        <v>20</v>
      </c>
      <c r="D31" t="s">
        <v>27</v>
      </c>
      <c r="E31">
        <v>2024</v>
      </c>
      <c r="F31" s="84">
        <v>2059104114.7400005</v>
      </c>
      <c r="G31" s="73"/>
      <c r="H31" s="84">
        <v>0</v>
      </c>
      <c r="I31" s="73"/>
      <c r="J31" s="84">
        <v>0</v>
      </c>
      <c r="K31" s="73"/>
      <c r="L31" s="84">
        <v>-14202.01</v>
      </c>
      <c r="M31" s="73"/>
      <c r="N31" s="84">
        <v>0</v>
      </c>
      <c r="O31" s="73"/>
      <c r="P31" s="47">
        <f t="shared" si="1"/>
        <v>2059089912.7300005</v>
      </c>
      <c r="Q31" s="132"/>
    </row>
    <row r="32" spans="2:22">
      <c r="B32" s="9"/>
      <c r="C32" t="s">
        <v>21</v>
      </c>
      <c r="D32" t="s">
        <v>27</v>
      </c>
      <c r="E32">
        <v>2024</v>
      </c>
      <c r="F32" s="84">
        <v>2069181522.7900004</v>
      </c>
      <c r="G32" s="73"/>
      <c r="H32" s="84">
        <v>0</v>
      </c>
      <c r="I32" s="73"/>
      <c r="J32" s="84">
        <v>0</v>
      </c>
      <c r="K32" s="73"/>
      <c r="L32" s="84">
        <v>-14202.01</v>
      </c>
      <c r="M32" s="73"/>
      <c r="N32" s="84">
        <v>0</v>
      </c>
      <c r="O32" s="73"/>
      <c r="P32" s="47">
        <f t="shared" si="1"/>
        <v>2069167320.7800004</v>
      </c>
      <c r="Q32" s="132"/>
    </row>
    <row r="33" spans="2:17">
      <c r="B33" s="9"/>
      <c r="C33" t="s">
        <v>22</v>
      </c>
      <c r="D33" t="s">
        <v>27</v>
      </c>
      <c r="E33">
        <v>2024</v>
      </c>
      <c r="F33" s="84">
        <v>2094212254.6000006</v>
      </c>
      <c r="G33" s="73"/>
      <c r="H33" s="84">
        <v>0</v>
      </c>
      <c r="I33" s="73"/>
      <c r="J33" s="84">
        <v>0</v>
      </c>
      <c r="K33" s="73"/>
      <c r="L33" s="84">
        <v>-14202.01</v>
      </c>
      <c r="M33" s="73"/>
      <c r="N33" s="84">
        <v>0</v>
      </c>
      <c r="O33" s="73"/>
      <c r="P33" s="47">
        <f t="shared" si="1"/>
        <v>2094198052.5900006</v>
      </c>
      <c r="Q33" s="132"/>
    </row>
    <row r="34" spans="2:17">
      <c r="B34" s="9"/>
      <c r="C34" t="s">
        <v>23</v>
      </c>
      <c r="D34" t="s">
        <v>27</v>
      </c>
      <c r="E34">
        <v>2024</v>
      </c>
      <c r="F34" s="84">
        <v>2120726382.0800002</v>
      </c>
      <c r="G34" s="73"/>
      <c r="H34" s="84">
        <v>0</v>
      </c>
      <c r="I34" s="73"/>
      <c r="J34" s="84">
        <v>0</v>
      </c>
      <c r="K34" s="73"/>
      <c r="L34" s="84">
        <v>-14202.01</v>
      </c>
      <c r="M34" s="73"/>
      <c r="N34" s="84">
        <v>0</v>
      </c>
      <c r="O34" s="73"/>
      <c r="P34" s="47">
        <f t="shared" si="1"/>
        <v>2120712180.0700002</v>
      </c>
      <c r="Q34" s="132"/>
    </row>
    <row r="35" spans="2:17">
      <c r="B35" s="9"/>
      <c r="C35" t="s">
        <v>24</v>
      </c>
      <c r="D35" t="s">
        <v>27</v>
      </c>
      <c r="E35">
        <v>2024</v>
      </c>
      <c r="F35" s="84">
        <v>2148049880.6700001</v>
      </c>
      <c r="G35" s="73"/>
      <c r="H35" s="84">
        <v>0</v>
      </c>
      <c r="I35" s="73"/>
      <c r="J35" s="84">
        <v>0</v>
      </c>
      <c r="K35" s="73"/>
      <c r="L35" s="84">
        <v>-14202.01</v>
      </c>
      <c r="M35" s="73"/>
      <c r="N35" s="84">
        <v>0</v>
      </c>
      <c r="O35" s="73"/>
      <c r="P35" s="47">
        <f t="shared" si="1"/>
        <v>2148035678.6599998</v>
      </c>
      <c r="Q35" s="132"/>
    </row>
    <row r="36" spans="2:17">
      <c r="B36" s="9"/>
      <c r="C36" t="s">
        <v>13</v>
      </c>
      <c r="D36" t="s">
        <v>32</v>
      </c>
      <c r="E36">
        <v>2024</v>
      </c>
      <c r="F36" s="494">
        <f>+'FERC Form 1 Inputs'!L22</f>
        <v>2238529675</v>
      </c>
      <c r="G36" s="26"/>
      <c r="H36" s="84">
        <v>0</v>
      </c>
      <c r="I36" s="26"/>
      <c r="J36" s="84">
        <v>0</v>
      </c>
      <c r="K36" s="73"/>
      <c r="L36" s="277">
        <v>-14202.01</v>
      </c>
      <c r="M36" s="26"/>
      <c r="N36" s="84">
        <v>0</v>
      </c>
      <c r="O36" s="26"/>
      <c r="P36" s="47">
        <f t="shared" si="1"/>
        <v>2238515472.9899998</v>
      </c>
      <c r="Q36" s="132"/>
    </row>
    <row r="37" spans="2:17">
      <c r="B37" s="9"/>
      <c r="C37" s="1" t="s">
        <v>34</v>
      </c>
      <c r="F37" s="10">
        <f>AVERAGE(F24:F36)</f>
        <v>2062140301.6207697</v>
      </c>
      <c r="G37" s="73"/>
      <c r="H37" s="252">
        <f>AVERAGE(H24:H36)</f>
        <v>0</v>
      </c>
      <c r="I37" s="73"/>
      <c r="J37" s="252">
        <f>AVERAGE(J24:J36)</f>
        <v>0</v>
      </c>
      <c r="K37" s="73"/>
      <c r="L37" s="10">
        <f>AVERAGE(L24:L36)</f>
        <v>-14202.01</v>
      </c>
      <c r="M37" s="73"/>
      <c r="N37" s="252">
        <f>AVERAGE(N24:N36)</f>
        <v>0</v>
      </c>
      <c r="O37" s="73"/>
      <c r="P37" s="335">
        <f>AVERAGE(P24:P36)</f>
        <v>2062126099.6107695</v>
      </c>
      <c r="Q37" s="132"/>
    </row>
    <row r="38" spans="2:17">
      <c r="B38" s="9"/>
      <c r="F38" s="10"/>
      <c r="G38" s="73"/>
      <c r="H38" s="73"/>
      <c r="I38" s="73"/>
      <c r="J38" s="73"/>
      <c r="K38" s="73"/>
      <c r="L38" s="73"/>
      <c r="M38" s="73"/>
      <c r="N38" s="73"/>
      <c r="O38" s="73"/>
      <c r="Q38" s="11"/>
    </row>
    <row r="39" spans="2:17">
      <c r="B39" s="9"/>
      <c r="C39" s="1" t="s">
        <v>33</v>
      </c>
      <c r="F39" s="10"/>
      <c r="G39" s="73"/>
      <c r="H39" s="73"/>
      <c r="I39" s="73"/>
      <c r="J39" s="73"/>
      <c r="K39" s="73"/>
      <c r="L39" s="73"/>
      <c r="M39" s="73"/>
      <c r="N39" s="73"/>
      <c r="O39" s="73"/>
      <c r="Q39" s="11"/>
    </row>
    <row r="40" spans="2:17">
      <c r="B40" s="9"/>
      <c r="C40" s="12" t="s">
        <v>10</v>
      </c>
      <c r="D40" s="12" t="s">
        <v>11</v>
      </c>
      <c r="E40" s="12"/>
      <c r="F40" s="13" t="s">
        <v>12</v>
      </c>
      <c r="G40" s="133"/>
      <c r="H40" s="133" t="str">
        <f>+H23</f>
        <v>Settlement Adjustment</v>
      </c>
      <c r="I40" s="133"/>
      <c r="J40" s="133" t="str">
        <f>+J23</f>
        <v>Remove Right of Use Asset</v>
      </c>
      <c r="K40" s="133"/>
      <c r="L40" s="457" t="s">
        <v>1572</v>
      </c>
      <c r="M40" s="133"/>
      <c r="N40" s="133" t="str">
        <f>+N23</f>
        <v>Direct Assignment</v>
      </c>
      <c r="O40" s="133"/>
      <c r="P40" s="1" t="s">
        <v>543</v>
      </c>
      <c r="Q40" s="11"/>
    </row>
    <row r="41" spans="2:17">
      <c r="B41" s="9"/>
      <c r="C41" t="s">
        <v>13</v>
      </c>
      <c r="D41" t="s">
        <v>36</v>
      </c>
      <c r="E41">
        <v>2023</v>
      </c>
      <c r="F41" s="73">
        <f>+'FERC Form 1 Inputs'!I19</f>
        <v>78425320</v>
      </c>
      <c r="G41" s="73"/>
      <c r="H41" s="84">
        <v>0</v>
      </c>
      <c r="I41" s="73"/>
      <c r="J41" s="84">
        <v>0</v>
      </c>
      <c r="K41" s="73"/>
      <c r="L41" s="84">
        <v>0</v>
      </c>
      <c r="M41" s="73"/>
      <c r="N41" s="84">
        <v>0</v>
      </c>
      <c r="O41" s="73"/>
      <c r="P41" s="47">
        <f>+F41+H41+J41+L41-N41</f>
        <v>78425320</v>
      </c>
      <c r="Q41" s="11"/>
    </row>
    <row r="42" spans="2:17">
      <c r="B42" s="9"/>
      <c r="C42" t="s">
        <v>14</v>
      </c>
      <c r="D42" t="s">
        <v>27</v>
      </c>
      <c r="E42">
        <v>2024</v>
      </c>
      <c r="F42" s="84">
        <v>79136929.049999997</v>
      </c>
      <c r="G42" s="73"/>
      <c r="H42" s="84">
        <v>0</v>
      </c>
      <c r="I42" s="73"/>
      <c r="J42" s="84">
        <v>0</v>
      </c>
      <c r="K42" s="73"/>
      <c r="L42" s="84">
        <v>0</v>
      </c>
      <c r="M42" s="73"/>
      <c r="N42" s="84">
        <v>0</v>
      </c>
      <c r="O42" s="73"/>
      <c r="P42" s="47">
        <f t="shared" ref="P42:P53" si="2">+F42+H42+J42+L42-N42</f>
        <v>79136929.049999997</v>
      </c>
      <c r="Q42" s="11"/>
    </row>
    <row r="43" spans="2:17">
      <c r="B43" s="9"/>
      <c r="C43" t="s">
        <v>15</v>
      </c>
      <c r="D43" t="s">
        <v>27</v>
      </c>
      <c r="E43">
        <v>2024</v>
      </c>
      <c r="F43" s="84">
        <v>79311682.740000024</v>
      </c>
      <c r="G43" s="73"/>
      <c r="H43" s="84">
        <v>0</v>
      </c>
      <c r="I43" s="73"/>
      <c r="J43" s="84">
        <v>0</v>
      </c>
      <c r="K43" s="73"/>
      <c r="L43" s="84">
        <v>0</v>
      </c>
      <c r="M43" s="73"/>
      <c r="N43" s="84">
        <v>0</v>
      </c>
      <c r="O43" s="73"/>
      <c r="P43" s="47">
        <f t="shared" si="2"/>
        <v>79311682.740000024</v>
      </c>
      <c r="Q43" s="11"/>
    </row>
    <row r="44" spans="2:17">
      <c r="B44" s="9"/>
      <c r="C44" t="s">
        <v>16</v>
      </c>
      <c r="D44" t="s">
        <v>27</v>
      </c>
      <c r="E44">
        <v>2024</v>
      </c>
      <c r="F44" s="84">
        <v>79486102.13000001</v>
      </c>
      <c r="G44" s="73"/>
      <c r="H44" s="84">
        <v>0</v>
      </c>
      <c r="I44" s="73"/>
      <c r="J44" s="84">
        <v>0</v>
      </c>
      <c r="K44" s="73"/>
      <c r="L44" s="84">
        <v>0</v>
      </c>
      <c r="M44" s="73"/>
      <c r="N44" s="84">
        <v>0</v>
      </c>
      <c r="O44" s="73"/>
      <c r="P44" s="47">
        <f t="shared" si="2"/>
        <v>79486102.13000001</v>
      </c>
      <c r="Q44" s="11"/>
    </row>
    <row r="45" spans="2:17">
      <c r="B45" s="9"/>
      <c r="C45" t="s">
        <v>17</v>
      </c>
      <c r="D45" t="s">
        <v>27</v>
      </c>
      <c r="E45">
        <v>2024</v>
      </c>
      <c r="F45" s="84">
        <v>79499692.400000006</v>
      </c>
      <c r="G45" s="73"/>
      <c r="H45" s="84">
        <v>0</v>
      </c>
      <c r="I45" s="73"/>
      <c r="J45" s="84">
        <v>0</v>
      </c>
      <c r="K45" s="73"/>
      <c r="L45" s="84">
        <v>0</v>
      </c>
      <c r="M45" s="73"/>
      <c r="N45" s="84">
        <v>0</v>
      </c>
      <c r="O45" s="73"/>
      <c r="P45" s="47">
        <f t="shared" si="2"/>
        <v>79499692.400000006</v>
      </c>
      <c r="Q45" s="11"/>
    </row>
    <row r="46" spans="2:17">
      <c r="B46" s="9"/>
      <c r="C46" t="s">
        <v>18</v>
      </c>
      <c r="D46" t="s">
        <v>27</v>
      </c>
      <c r="E46">
        <v>2024</v>
      </c>
      <c r="F46" s="84">
        <v>80533216.230000004</v>
      </c>
      <c r="G46" s="73"/>
      <c r="H46" s="84">
        <v>0</v>
      </c>
      <c r="I46" s="73"/>
      <c r="J46" s="84">
        <v>0</v>
      </c>
      <c r="K46" s="73"/>
      <c r="L46" s="84">
        <v>0</v>
      </c>
      <c r="M46" s="73"/>
      <c r="N46" s="84">
        <v>0</v>
      </c>
      <c r="O46" s="73"/>
      <c r="P46" s="47">
        <f t="shared" si="2"/>
        <v>80533216.230000004</v>
      </c>
      <c r="Q46" s="11"/>
    </row>
    <row r="47" spans="2:17">
      <c r="B47" s="9"/>
      <c r="C47" t="s">
        <v>19</v>
      </c>
      <c r="D47" t="s">
        <v>27</v>
      </c>
      <c r="E47">
        <v>2024</v>
      </c>
      <c r="F47" s="84">
        <v>80647503.390000001</v>
      </c>
      <c r="G47" s="73"/>
      <c r="H47" s="84">
        <v>0</v>
      </c>
      <c r="I47" s="73"/>
      <c r="J47" s="84">
        <v>0</v>
      </c>
      <c r="K47" s="73"/>
      <c r="L47" s="84">
        <v>0</v>
      </c>
      <c r="M47" s="73"/>
      <c r="N47" s="84">
        <v>0</v>
      </c>
      <c r="O47" s="73"/>
      <c r="P47" s="47">
        <f t="shared" si="2"/>
        <v>80647503.390000001</v>
      </c>
      <c r="Q47" s="11"/>
    </row>
    <row r="48" spans="2:17">
      <c r="B48" s="9"/>
      <c r="C48" t="s">
        <v>20</v>
      </c>
      <c r="D48" t="s">
        <v>27</v>
      </c>
      <c r="E48">
        <v>2024</v>
      </c>
      <c r="F48" s="84">
        <v>83258654.849999979</v>
      </c>
      <c r="G48" s="73"/>
      <c r="H48" s="84">
        <v>0</v>
      </c>
      <c r="I48" s="73"/>
      <c r="J48" s="84">
        <v>0</v>
      </c>
      <c r="K48" s="73"/>
      <c r="L48" s="84">
        <v>0</v>
      </c>
      <c r="M48" s="73"/>
      <c r="N48" s="84">
        <v>0</v>
      </c>
      <c r="O48" s="73"/>
      <c r="P48" s="47">
        <f t="shared" si="2"/>
        <v>83258654.849999979</v>
      </c>
      <c r="Q48" s="11"/>
    </row>
    <row r="49" spans="2:17">
      <c r="B49" s="9"/>
      <c r="C49" t="s">
        <v>21</v>
      </c>
      <c r="D49" t="s">
        <v>27</v>
      </c>
      <c r="E49">
        <v>2024</v>
      </c>
      <c r="F49" s="84">
        <v>83234495.969999969</v>
      </c>
      <c r="G49" s="73"/>
      <c r="H49" s="84">
        <v>0</v>
      </c>
      <c r="I49" s="73"/>
      <c r="J49" s="84">
        <v>0</v>
      </c>
      <c r="K49" s="73"/>
      <c r="L49" s="84">
        <v>0</v>
      </c>
      <c r="M49" s="73"/>
      <c r="N49" s="84">
        <v>0</v>
      </c>
      <c r="O49" s="73"/>
      <c r="P49" s="47">
        <f t="shared" si="2"/>
        <v>83234495.969999969</v>
      </c>
      <c r="Q49" s="11"/>
    </row>
    <row r="50" spans="2:17">
      <c r="B50" s="9"/>
      <c r="C50" t="s">
        <v>22</v>
      </c>
      <c r="D50" t="s">
        <v>27</v>
      </c>
      <c r="E50">
        <v>2024</v>
      </c>
      <c r="F50" s="84">
        <v>87106915</v>
      </c>
      <c r="G50" s="73"/>
      <c r="H50" s="84">
        <v>0</v>
      </c>
      <c r="I50" s="73"/>
      <c r="J50" s="84">
        <v>0</v>
      </c>
      <c r="K50" s="73"/>
      <c r="L50" s="84">
        <v>0</v>
      </c>
      <c r="M50" s="73"/>
      <c r="N50" s="84">
        <v>0</v>
      </c>
      <c r="O50" s="73"/>
      <c r="P50" s="47">
        <f t="shared" si="2"/>
        <v>87106915</v>
      </c>
      <c r="Q50" s="11"/>
    </row>
    <row r="51" spans="2:17">
      <c r="B51" s="9"/>
      <c r="C51" t="s">
        <v>23</v>
      </c>
      <c r="D51" t="s">
        <v>27</v>
      </c>
      <c r="E51">
        <v>2024</v>
      </c>
      <c r="F51" s="84">
        <v>86743573.980000004</v>
      </c>
      <c r="G51" s="73"/>
      <c r="H51" s="84">
        <v>0</v>
      </c>
      <c r="I51" s="73"/>
      <c r="J51" s="84">
        <v>0</v>
      </c>
      <c r="K51" s="73"/>
      <c r="L51" s="84">
        <v>0</v>
      </c>
      <c r="M51" s="73"/>
      <c r="N51" s="84">
        <v>0</v>
      </c>
      <c r="O51" s="73"/>
      <c r="P51" s="47">
        <f t="shared" si="2"/>
        <v>86743573.980000004</v>
      </c>
      <c r="Q51" s="11"/>
    </row>
    <row r="52" spans="2:17">
      <c r="B52" s="9"/>
      <c r="C52" t="s">
        <v>24</v>
      </c>
      <c r="D52" t="s">
        <v>27</v>
      </c>
      <c r="E52">
        <v>2024</v>
      </c>
      <c r="F52" s="84">
        <v>87265347.739999995</v>
      </c>
      <c r="G52" s="73"/>
      <c r="H52" s="84">
        <v>0</v>
      </c>
      <c r="I52" s="73"/>
      <c r="J52" s="84">
        <v>0</v>
      </c>
      <c r="K52" s="73"/>
      <c r="L52" s="84">
        <v>0</v>
      </c>
      <c r="M52" s="73"/>
      <c r="N52" s="84">
        <v>0</v>
      </c>
      <c r="O52" s="73"/>
      <c r="P52" s="47">
        <f t="shared" si="2"/>
        <v>87265347.739999995</v>
      </c>
      <c r="Q52" s="11"/>
    </row>
    <row r="53" spans="2:17">
      <c r="B53" s="9"/>
      <c r="C53" t="s">
        <v>13</v>
      </c>
      <c r="D53" t="s">
        <v>37</v>
      </c>
      <c r="E53">
        <v>2024</v>
      </c>
      <c r="F53" s="126">
        <f>+'FERC Form 1 Inputs'!L19</f>
        <v>74269669</v>
      </c>
      <c r="G53" s="26"/>
      <c r="H53" s="84">
        <v>0</v>
      </c>
      <c r="I53" s="26"/>
      <c r="J53" s="84">
        <v>0</v>
      </c>
      <c r="K53" s="73"/>
      <c r="L53" s="84">
        <v>0</v>
      </c>
      <c r="M53" s="26"/>
      <c r="N53" s="84">
        <v>0</v>
      </c>
      <c r="O53" s="26"/>
      <c r="P53" s="47">
        <f t="shared" si="2"/>
        <v>74269669</v>
      </c>
      <c r="Q53" s="132"/>
    </row>
    <row r="54" spans="2:17">
      <c r="B54" s="9"/>
      <c r="C54" s="1" t="s">
        <v>35</v>
      </c>
      <c r="F54" s="10">
        <f>AVERAGE(F41:F53)</f>
        <v>81455315.575384617</v>
      </c>
      <c r="G54" s="73"/>
      <c r="H54" s="252">
        <f>AVERAGE(H41:H53)</f>
        <v>0</v>
      </c>
      <c r="I54" s="73"/>
      <c r="J54" s="252">
        <f>AVERAGE(J41:J53)</f>
        <v>0</v>
      </c>
      <c r="K54" s="73"/>
      <c r="L54" s="252">
        <f>AVERAGE(L41:L53)</f>
        <v>0</v>
      </c>
      <c r="M54" s="73"/>
      <c r="N54" s="252">
        <f>AVERAGE(N41:N53)</f>
        <v>0</v>
      </c>
      <c r="O54" s="73"/>
      <c r="P54" s="335">
        <f>AVERAGE(P41:P53)</f>
        <v>81455315.575384617</v>
      </c>
      <c r="Q54" s="132"/>
    </row>
    <row r="55" spans="2:17">
      <c r="B55" s="9"/>
      <c r="F55" s="10"/>
      <c r="G55" s="73"/>
      <c r="H55" s="73"/>
      <c r="I55" s="73"/>
      <c r="J55" s="73"/>
      <c r="K55" s="73"/>
      <c r="L55" s="73"/>
      <c r="M55" s="73"/>
      <c r="N55" s="73"/>
      <c r="O55" s="73"/>
      <c r="Q55" s="11"/>
    </row>
    <row r="56" spans="2:17" ht="30">
      <c r="B56" s="9"/>
      <c r="C56" s="1" t="s">
        <v>38</v>
      </c>
      <c r="F56" s="10"/>
      <c r="G56" s="73"/>
      <c r="H56" s="73"/>
      <c r="I56" s="73"/>
      <c r="J56" s="73"/>
      <c r="K56" s="73"/>
      <c r="L56" s="456" t="s">
        <v>1575</v>
      </c>
      <c r="M56" s="73"/>
      <c r="N56" s="73"/>
      <c r="O56" s="73"/>
      <c r="Q56" s="11"/>
    </row>
    <row r="57" spans="2:17">
      <c r="B57" s="9"/>
      <c r="C57" s="12" t="s">
        <v>10</v>
      </c>
      <c r="D57" s="12" t="s">
        <v>11</v>
      </c>
      <c r="E57" s="12"/>
      <c r="F57" s="13" t="s">
        <v>12</v>
      </c>
      <c r="G57" s="133"/>
      <c r="H57" s="133" t="str">
        <f>+H40</f>
        <v>Settlement Adjustment</v>
      </c>
      <c r="I57" s="133"/>
      <c r="J57" s="133" t="str">
        <f>+J40</f>
        <v>Remove Right of Use Asset</v>
      </c>
      <c r="K57" s="133"/>
      <c r="L57" s="457" t="s">
        <v>1572</v>
      </c>
      <c r="M57" s="133"/>
      <c r="N57" s="133" t="str">
        <f>+N40</f>
        <v>Direct Assignment</v>
      </c>
      <c r="O57" s="133"/>
      <c r="P57" s="1" t="s">
        <v>543</v>
      </c>
      <c r="Q57" s="11"/>
    </row>
    <row r="58" spans="2:17">
      <c r="B58" s="9"/>
      <c r="C58" t="s">
        <v>13</v>
      </c>
      <c r="D58" t="s">
        <v>44</v>
      </c>
      <c r="E58">
        <v>2023</v>
      </c>
      <c r="F58" s="73">
        <f>+'FERC Form 1 Inputs'!I23</f>
        <v>179474163</v>
      </c>
      <c r="G58" s="73"/>
      <c r="H58" s="84">
        <v>0</v>
      </c>
      <c r="I58" s="73"/>
      <c r="J58" s="84">
        <v>0</v>
      </c>
      <c r="K58" s="73"/>
      <c r="L58" s="84">
        <v>-19473</v>
      </c>
      <c r="M58" s="73"/>
      <c r="N58" s="84">
        <v>0</v>
      </c>
      <c r="O58" s="73"/>
      <c r="P58" s="47">
        <f>+F58+H58+J58+L58-N58</f>
        <v>179454690</v>
      </c>
      <c r="Q58" s="11"/>
    </row>
    <row r="59" spans="2:17">
      <c r="B59" s="9"/>
      <c r="C59" t="s">
        <v>14</v>
      </c>
      <c r="D59" t="s">
        <v>27</v>
      </c>
      <c r="E59">
        <v>2024</v>
      </c>
      <c r="F59" s="84">
        <v>180701555.63000003</v>
      </c>
      <c r="G59" s="73"/>
      <c r="H59" s="84">
        <v>0</v>
      </c>
      <c r="I59" s="73"/>
      <c r="J59" s="84">
        <v>0</v>
      </c>
      <c r="K59" s="73"/>
      <c r="L59" s="84">
        <v>-19473.000000000004</v>
      </c>
      <c r="M59" s="73"/>
      <c r="N59" s="84">
        <v>0</v>
      </c>
      <c r="O59" s="73"/>
      <c r="P59" s="47">
        <f t="shared" ref="P59:P70" si="3">+F59+H59+J59+L59-N59</f>
        <v>180682082.63000003</v>
      </c>
      <c r="Q59" s="11"/>
    </row>
    <row r="60" spans="2:17">
      <c r="B60" s="9"/>
      <c r="C60" t="s">
        <v>15</v>
      </c>
      <c r="D60" t="s">
        <v>27</v>
      </c>
      <c r="E60">
        <v>2024</v>
      </c>
      <c r="F60" s="84">
        <v>182529137.29000002</v>
      </c>
      <c r="G60" s="73"/>
      <c r="H60" s="84">
        <v>0</v>
      </c>
      <c r="I60" s="73"/>
      <c r="J60" s="84">
        <v>0</v>
      </c>
      <c r="K60" s="73"/>
      <c r="L60" s="84">
        <v>-19473</v>
      </c>
      <c r="M60" s="73"/>
      <c r="N60" s="84">
        <v>0</v>
      </c>
      <c r="O60" s="73"/>
      <c r="P60" s="47">
        <f>+F60+H60+J60+L60-N60</f>
        <v>182509664.29000002</v>
      </c>
      <c r="Q60" s="11"/>
    </row>
    <row r="61" spans="2:17">
      <c r="B61" s="9"/>
      <c r="C61" t="s">
        <v>16</v>
      </c>
      <c r="D61" t="s">
        <v>27</v>
      </c>
      <c r="E61">
        <v>2024</v>
      </c>
      <c r="F61" s="84">
        <v>182590047.08999997</v>
      </c>
      <c r="G61" s="73"/>
      <c r="H61" s="84">
        <v>0</v>
      </c>
      <c r="I61" s="73"/>
      <c r="J61" s="84">
        <v>0</v>
      </c>
      <c r="K61" s="73"/>
      <c r="L61" s="84">
        <v>-19473</v>
      </c>
      <c r="M61" s="73"/>
      <c r="N61" s="84">
        <v>0</v>
      </c>
      <c r="O61" s="73"/>
      <c r="P61" s="47">
        <f t="shared" si="3"/>
        <v>182570574.08999997</v>
      </c>
      <c r="Q61" s="11"/>
    </row>
    <row r="62" spans="2:17">
      <c r="B62" s="9"/>
      <c r="C62" t="s">
        <v>17</v>
      </c>
      <c r="D62" t="s">
        <v>27</v>
      </c>
      <c r="E62">
        <v>2024</v>
      </c>
      <c r="F62" s="84">
        <v>182634717.49999994</v>
      </c>
      <c r="G62" s="73"/>
      <c r="H62" s="84">
        <v>0</v>
      </c>
      <c r="I62" s="73"/>
      <c r="J62" s="84">
        <v>0</v>
      </c>
      <c r="K62" s="73"/>
      <c r="L62" s="84">
        <v>-19473</v>
      </c>
      <c r="M62" s="73"/>
      <c r="N62" s="84">
        <v>0</v>
      </c>
      <c r="O62" s="73"/>
      <c r="P62" s="47">
        <f t="shared" si="3"/>
        <v>182615244.49999994</v>
      </c>
      <c r="Q62" s="11"/>
    </row>
    <row r="63" spans="2:17">
      <c r="B63" s="9"/>
      <c r="C63" t="s">
        <v>18</v>
      </c>
      <c r="D63" t="s">
        <v>27</v>
      </c>
      <c r="E63">
        <v>2024</v>
      </c>
      <c r="F63" s="84">
        <v>183569826.07999998</v>
      </c>
      <c r="G63" s="73"/>
      <c r="H63" s="84">
        <v>0</v>
      </c>
      <c r="I63" s="73"/>
      <c r="J63" s="84">
        <v>0</v>
      </c>
      <c r="K63" s="73"/>
      <c r="L63" s="84">
        <v>-19473</v>
      </c>
      <c r="M63" s="73"/>
      <c r="N63" s="84">
        <v>0</v>
      </c>
      <c r="O63" s="73"/>
      <c r="P63" s="47">
        <f t="shared" si="3"/>
        <v>183550353.07999998</v>
      </c>
      <c r="Q63" s="11"/>
    </row>
    <row r="64" spans="2:17">
      <c r="B64" s="9"/>
      <c r="C64" t="s">
        <v>19</v>
      </c>
      <c r="D64" t="s">
        <v>27</v>
      </c>
      <c r="E64">
        <v>2024</v>
      </c>
      <c r="F64" s="84">
        <v>190261919.62</v>
      </c>
      <c r="G64" s="73"/>
      <c r="H64" s="84">
        <v>0</v>
      </c>
      <c r="I64" s="73"/>
      <c r="J64" s="84">
        <v>0</v>
      </c>
      <c r="K64" s="73"/>
      <c r="L64" s="84">
        <v>-19473</v>
      </c>
      <c r="M64" s="73"/>
      <c r="N64" s="84">
        <v>0</v>
      </c>
      <c r="O64" s="73"/>
      <c r="P64" s="47">
        <f t="shared" si="3"/>
        <v>190242446.62</v>
      </c>
      <c r="Q64" s="11"/>
    </row>
    <row r="65" spans="2:17">
      <c r="B65" s="9"/>
      <c r="C65" t="s">
        <v>20</v>
      </c>
      <c r="D65" t="s">
        <v>27</v>
      </c>
      <c r="E65">
        <v>2024</v>
      </c>
      <c r="F65" s="84">
        <v>192311320.59000003</v>
      </c>
      <c r="G65" s="73"/>
      <c r="H65" s="84">
        <v>0</v>
      </c>
      <c r="I65" s="73"/>
      <c r="J65" s="84">
        <v>0</v>
      </c>
      <c r="K65" s="73"/>
      <c r="L65" s="84">
        <v>-19473</v>
      </c>
      <c r="M65" s="73"/>
      <c r="N65" s="84">
        <v>0</v>
      </c>
      <c r="O65" s="73"/>
      <c r="P65" s="47">
        <f t="shared" si="3"/>
        <v>192291847.59000003</v>
      </c>
      <c r="Q65" s="11"/>
    </row>
    <row r="66" spans="2:17">
      <c r="B66" s="9"/>
      <c r="C66" t="s">
        <v>21</v>
      </c>
      <c r="D66" t="s">
        <v>27</v>
      </c>
      <c r="E66">
        <v>2024</v>
      </c>
      <c r="F66" s="84">
        <v>192311953.89000005</v>
      </c>
      <c r="G66" s="73"/>
      <c r="H66" s="84">
        <v>0</v>
      </c>
      <c r="I66" s="73"/>
      <c r="J66" s="84">
        <v>0</v>
      </c>
      <c r="K66" s="73"/>
      <c r="L66" s="84">
        <v>-19473</v>
      </c>
      <c r="M66" s="73"/>
      <c r="N66" s="84">
        <v>0</v>
      </c>
      <c r="O66" s="73"/>
      <c r="P66" s="47">
        <f t="shared" si="3"/>
        <v>192292480.89000005</v>
      </c>
      <c r="Q66" s="11"/>
    </row>
    <row r="67" spans="2:17">
      <c r="B67" s="9"/>
      <c r="C67" t="s">
        <v>22</v>
      </c>
      <c r="D67" t="s">
        <v>27</v>
      </c>
      <c r="E67">
        <v>2024</v>
      </c>
      <c r="F67" s="84">
        <v>192335774.12</v>
      </c>
      <c r="G67" s="73"/>
      <c r="H67" s="84">
        <v>0</v>
      </c>
      <c r="I67" s="73"/>
      <c r="J67" s="84">
        <v>0</v>
      </c>
      <c r="K67" s="73"/>
      <c r="L67" s="84">
        <v>-19473</v>
      </c>
      <c r="M67" s="73"/>
      <c r="N67" s="84">
        <v>0</v>
      </c>
      <c r="O67" s="73"/>
      <c r="P67" s="47">
        <f t="shared" si="3"/>
        <v>192316301.12</v>
      </c>
      <c r="Q67" s="11"/>
    </row>
    <row r="68" spans="2:17">
      <c r="B68" s="9"/>
      <c r="C68" t="s">
        <v>23</v>
      </c>
      <c r="D68" t="s">
        <v>27</v>
      </c>
      <c r="E68">
        <v>2024</v>
      </c>
      <c r="F68" s="84">
        <v>192214450.21000001</v>
      </c>
      <c r="G68" s="73"/>
      <c r="H68" s="84">
        <v>0</v>
      </c>
      <c r="I68" s="73"/>
      <c r="J68" s="84">
        <v>0</v>
      </c>
      <c r="K68" s="73"/>
      <c r="L68" s="84">
        <v>-19473</v>
      </c>
      <c r="M68" s="73"/>
      <c r="N68" s="84">
        <v>0</v>
      </c>
      <c r="O68" s="73"/>
      <c r="P68" s="47">
        <f t="shared" si="3"/>
        <v>192194977.21000001</v>
      </c>
      <c r="Q68" s="11"/>
    </row>
    <row r="69" spans="2:17">
      <c r="B69" s="9"/>
      <c r="C69" t="s">
        <v>24</v>
      </c>
      <c r="D69" t="s">
        <v>27</v>
      </c>
      <c r="E69">
        <v>2024</v>
      </c>
      <c r="F69" s="84">
        <v>193734540.36000004</v>
      </c>
      <c r="G69" s="73"/>
      <c r="H69" s="84">
        <v>0</v>
      </c>
      <c r="I69" s="73"/>
      <c r="J69" s="84">
        <v>0</v>
      </c>
      <c r="K69" s="73"/>
      <c r="L69" s="84">
        <v>-19473</v>
      </c>
      <c r="M69" s="73"/>
      <c r="N69" s="84">
        <v>0</v>
      </c>
      <c r="O69" s="73"/>
      <c r="P69" s="47">
        <f t="shared" si="3"/>
        <v>193715067.36000004</v>
      </c>
      <c r="Q69" s="11"/>
    </row>
    <row r="70" spans="2:17">
      <c r="B70" s="9"/>
      <c r="C70" t="s">
        <v>13</v>
      </c>
      <c r="D70" t="s">
        <v>45</v>
      </c>
      <c r="E70">
        <v>2024</v>
      </c>
      <c r="F70" s="494">
        <f>+'FERC Form 1 Inputs'!L23</f>
        <v>206135968</v>
      </c>
      <c r="G70" s="26"/>
      <c r="H70" s="277">
        <v>0</v>
      </c>
      <c r="I70" s="26"/>
      <c r="J70" s="277">
        <v>0</v>
      </c>
      <c r="K70" s="73"/>
      <c r="L70" s="277">
        <v>-19473.000000000004</v>
      </c>
      <c r="M70" s="26"/>
      <c r="N70" s="277">
        <v>0</v>
      </c>
      <c r="O70" s="26"/>
      <c r="P70" s="47">
        <f t="shared" si="3"/>
        <v>206116495</v>
      </c>
      <c r="Q70" s="11"/>
    </row>
    <row r="71" spans="2:17">
      <c r="B71" s="9"/>
      <c r="C71" s="1" t="s">
        <v>39</v>
      </c>
      <c r="F71" s="10">
        <f>AVERAGE(F58:F70)</f>
        <v>188523490.26000005</v>
      </c>
      <c r="G71" s="73"/>
      <c r="H71" s="10">
        <f>AVERAGE(H58:H70)</f>
        <v>0</v>
      </c>
      <c r="I71" s="73"/>
      <c r="J71" s="10">
        <f>AVERAGE(J58:J70)</f>
        <v>0</v>
      </c>
      <c r="K71" s="73"/>
      <c r="L71" s="10">
        <f>AVERAGE(L58:L70)</f>
        <v>-19473</v>
      </c>
      <c r="M71" s="73"/>
      <c r="N71" s="10">
        <f>AVERAGE(N58:N70)</f>
        <v>0</v>
      </c>
      <c r="O71" s="73"/>
      <c r="P71" s="335">
        <f>AVERAGE(P58:P70)</f>
        <v>188504017.26000005</v>
      </c>
      <c r="Q71" s="11"/>
    </row>
    <row r="72" spans="2:17">
      <c r="B72" s="9"/>
      <c r="F72" s="10"/>
      <c r="G72" s="73"/>
      <c r="H72" s="73"/>
      <c r="I72" s="73"/>
      <c r="J72" s="73"/>
      <c r="K72" s="73"/>
      <c r="L72" s="73"/>
      <c r="M72" s="73"/>
      <c r="N72" s="73"/>
      <c r="O72" s="73"/>
      <c r="Q72" s="11"/>
    </row>
    <row r="73" spans="2:17" ht="45">
      <c r="B73" s="9"/>
      <c r="C73" s="1" t="s">
        <v>40</v>
      </c>
      <c r="F73" s="10"/>
      <c r="G73" s="73"/>
      <c r="H73" s="73"/>
      <c r="I73" s="73"/>
      <c r="J73" s="73"/>
      <c r="K73" s="73"/>
      <c r="L73" s="456" t="s">
        <v>1574</v>
      </c>
      <c r="M73" s="73"/>
      <c r="N73" s="73"/>
      <c r="O73" s="73"/>
      <c r="Q73" s="11"/>
    </row>
    <row r="74" spans="2:17">
      <c r="B74" s="9"/>
      <c r="C74" s="12" t="s">
        <v>10</v>
      </c>
      <c r="D74" s="12" t="s">
        <v>11</v>
      </c>
      <c r="E74" s="12"/>
      <c r="F74" s="13" t="s">
        <v>12</v>
      </c>
      <c r="G74" s="133"/>
      <c r="H74" s="133" t="str">
        <f>+H57</f>
        <v>Settlement Adjustment</v>
      </c>
      <c r="I74" s="133"/>
      <c r="J74" s="133" t="str">
        <f>+J57</f>
        <v>Remove Right of Use Asset</v>
      </c>
      <c r="K74" s="133"/>
      <c r="L74" s="457" t="s">
        <v>1572</v>
      </c>
      <c r="M74" s="133"/>
      <c r="N74" s="133" t="str">
        <f>+N57</f>
        <v>Direct Assignment</v>
      </c>
      <c r="O74" s="133"/>
      <c r="P74" s="1" t="s">
        <v>543</v>
      </c>
      <c r="Q74" s="11"/>
    </row>
    <row r="75" spans="2:17">
      <c r="B75" s="9"/>
      <c r="C75" t="s">
        <v>13</v>
      </c>
      <c r="D75" t="s">
        <v>42</v>
      </c>
      <c r="E75">
        <v>2023</v>
      </c>
      <c r="F75" s="73">
        <f>+'FERC Form 1 Inputs'!I20</f>
        <v>2077102426</v>
      </c>
      <c r="G75" s="73"/>
      <c r="H75" s="84">
        <v>0</v>
      </c>
      <c r="I75" s="73"/>
      <c r="J75" s="84">
        <v>0</v>
      </c>
      <c r="K75" s="73"/>
      <c r="L75" s="84">
        <v>-23863831.469999999</v>
      </c>
      <c r="M75" s="73"/>
      <c r="N75" s="84">
        <f>-'Schedule 13 Direct Assignment'!F11-'Schedule 13 Direct Assignment'!G11</f>
        <v>-16488416.879999999</v>
      </c>
      <c r="O75" s="73"/>
      <c r="P75" s="47">
        <f t="shared" ref="P75:P87" si="4">+F75+H75+J75+L75-N75</f>
        <v>2069727011.4100001</v>
      </c>
      <c r="Q75" s="11"/>
    </row>
    <row r="76" spans="2:17">
      <c r="B76" s="9"/>
      <c r="C76" t="s">
        <v>14</v>
      </c>
      <c r="D76" t="s">
        <v>27</v>
      </c>
      <c r="E76">
        <v>2024</v>
      </c>
      <c r="F76" s="84">
        <v>2068869628.5299997</v>
      </c>
      <c r="G76" s="73"/>
      <c r="H76" s="84">
        <v>0</v>
      </c>
      <c r="I76" s="73"/>
      <c r="J76" s="84">
        <v>0</v>
      </c>
      <c r="K76" s="73"/>
      <c r="L76" s="84">
        <v>-23863831.469999999</v>
      </c>
      <c r="M76" s="73"/>
      <c r="N76" s="84">
        <f>-'Schedule 13 Direct Assignment'!F12-'Schedule 13 Direct Assignment'!G12</f>
        <v>-16488416.879999999</v>
      </c>
      <c r="O76" s="73"/>
      <c r="P76" s="47">
        <f t="shared" si="4"/>
        <v>2061494213.9399998</v>
      </c>
      <c r="Q76" s="11"/>
    </row>
    <row r="77" spans="2:17">
      <c r="B77" s="9"/>
      <c r="C77" t="s">
        <v>15</v>
      </c>
      <c r="D77" t="s">
        <v>27</v>
      </c>
      <c r="E77">
        <v>2024</v>
      </c>
      <c r="F77" s="84">
        <v>2073031142.6399999</v>
      </c>
      <c r="G77" s="73"/>
      <c r="H77" s="84">
        <v>0</v>
      </c>
      <c r="I77" s="73"/>
      <c r="J77" s="84">
        <v>0</v>
      </c>
      <c r="K77" s="73"/>
      <c r="L77" s="84">
        <v>-23863831.469999999</v>
      </c>
      <c r="M77" s="73"/>
      <c r="N77" s="84">
        <f>-'Schedule 13 Direct Assignment'!F13-'Schedule 13 Direct Assignment'!G13</f>
        <v>-16488416.879999999</v>
      </c>
      <c r="O77" s="73"/>
      <c r="P77" s="47">
        <f>+F77+H77+J77+L77-N77</f>
        <v>2065655728.05</v>
      </c>
      <c r="Q77" s="11"/>
    </row>
    <row r="78" spans="2:17">
      <c r="B78" s="9"/>
      <c r="C78" t="s">
        <v>16</v>
      </c>
      <c r="D78" t="s">
        <v>27</v>
      </c>
      <c r="E78">
        <v>2024</v>
      </c>
      <c r="F78" s="84">
        <v>2074280708.2199998</v>
      </c>
      <c r="G78" s="73"/>
      <c r="H78" s="84">
        <v>0</v>
      </c>
      <c r="I78" s="73"/>
      <c r="J78" s="84">
        <v>0</v>
      </c>
      <c r="K78" s="73"/>
      <c r="L78" s="84">
        <v>-23863831.469999999</v>
      </c>
      <c r="M78" s="73"/>
      <c r="N78" s="84">
        <f>-'Schedule 13 Direct Assignment'!F14-'Schedule 13 Direct Assignment'!G14</f>
        <v>-16488416.879999999</v>
      </c>
      <c r="O78" s="73"/>
      <c r="P78" s="47">
        <f t="shared" si="4"/>
        <v>2066905293.6299999</v>
      </c>
      <c r="Q78" s="11"/>
    </row>
    <row r="79" spans="2:17">
      <c r="B79" s="9"/>
      <c r="C79" t="s">
        <v>17</v>
      </c>
      <c r="D79" t="s">
        <v>27</v>
      </c>
      <c r="E79">
        <v>2024</v>
      </c>
      <c r="F79" s="84">
        <v>2074907415.6300001</v>
      </c>
      <c r="G79" s="73"/>
      <c r="H79" s="84">
        <v>0</v>
      </c>
      <c r="I79" s="73"/>
      <c r="J79" s="84">
        <v>0</v>
      </c>
      <c r="K79" s="73"/>
      <c r="L79" s="84">
        <v>-23863831.469999999</v>
      </c>
      <c r="M79" s="73"/>
      <c r="N79" s="84">
        <f>-'Schedule 13 Direct Assignment'!F15-'Schedule 13 Direct Assignment'!G15</f>
        <v>-16488416.879999999</v>
      </c>
      <c r="O79" s="73"/>
      <c r="P79" s="47">
        <f t="shared" si="4"/>
        <v>2067532001.0400002</v>
      </c>
      <c r="Q79" s="11"/>
    </row>
    <row r="80" spans="2:17">
      <c r="B80" s="9"/>
      <c r="C80" t="s">
        <v>18</v>
      </c>
      <c r="D80" t="s">
        <v>27</v>
      </c>
      <c r="E80">
        <v>2024</v>
      </c>
      <c r="F80" s="84">
        <v>2078434602.02</v>
      </c>
      <c r="G80" s="73"/>
      <c r="H80" s="84">
        <v>0</v>
      </c>
      <c r="I80" s="73"/>
      <c r="J80" s="84">
        <v>0</v>
      </c>
      <c r="K80" s="73"/>
      <c r="L80" s="84">
        <v>-23863831.469999999</v>
      </c>
      <c r="M80" s="73"/>
      <c r="N80" s="84">
        <f>-'Schedule 13 Direct Assignment'!F16-'Schedule 13 Direct Assignment'!G16</f>
        <v>-16488416.879999999</v>
      </c>
      <c r="O80" s="73"/>
      <c r="P80" s="47">
        <f t="shared" si="4"/>
        <v>2071059187.4300001</v>
      </c>
      <c r="Q80" s="11"/>
    </row>
    <row r="81" spans="2:17">
      <c r="B81" s="9"/>
      <c r="C81" t="s">
        <v>19</v>
      </c>
      <c r="D81" t="s">
        <v>27</v>
      </c>
      <c r="E81">
        <v>2024</v>
      </c>
      <c r="F81" s="84">
        <v>2104371763.0400002</v>
      </c>
      <c r="G81" s="73"/>
      <c r="H81" s="84">
        <v>0</v>
      </c>
      <c r="I81" s="73"/>
      <c r="J81" s="84">
        <v>0</v>
      </c>
      <c r="K81" s="73"/>
      <c r="L81" s="84">
        <v>-23863831.469999999</v>
      </c>
      <c r="M81" s="73"/>
      <c r="N81" s="84">
        <f>-'Schedule 13 Direct Assignment'!F17-'Schedule 13 Direct Assignment'!G17</f>
        <v>-16488416.879999999</v>
      </c>
      <c r="O81" s="73"/>
      <c r="P81" s="47">
        <f t="shared" si="4"/>
        <v>2096996348.4500003</v>
      </c>
      <c r="Q81" s="11"/>
    </row>
    <row r="82" spans="2:17">
      <c r="B82" s="9"/>
      <c r="C82" t="s">
        <v>20</v>
      </c>
      <c r="D82" t="s">
        <v>27</v>
      </c>
      <c r="E82">
        <v>2024</v>
      </c>
      <c r="F82" s="84">
        <v>2104620507.4200001</v>
      </c>
      <c r="G82" s="73"/>
      <c r="H82" s="84">
        <v>0</v>
      </c>
      <c r="I82" s="73"/>
      <c r="J82" s="84">
        <v>0</v>
      </c>
      <c r="K82" s="73"/>
      <c r="L82" s="84">
        <v>-23863831.469999999</v>
      </c>
      <c r="M82" s="73"/>
      <c r="N82" s="84">
        <f>-'Schedule 13 Direct Assignment'!F18-'Schedule 13 Direct Assignment'!G18</f>
        <v>-16488416.879999999</v>
      </c>
      <c r="O82" s="73"/>
      <c r="P82" s="47">
        <f t="shared" si="4"/>
        <v>2097245092.8300002</v>
      </c>
      <c r="Q82" s="11"/>
    </row>
    <row r="83" spans="2:17">
      <c r="B83" s="9"/>
      <c r="C83" t="s">
        <v>21</v>
      </c>
      <c r="D83" t="s">
        <v>27</v>
      </c>
      <c r="E83">
        <v>2024</v>
      </c>
      <c r="F83" s="84">
        <v>2106299402.28</v>
      </c>
      <c r="G83" s="73"/>
      <c r="H83" s="84">
        <v>0</v>
      </c>
      <c r="I83" s="73"/>
      <c r="J83" s="84">
        <v>0</v>
      </c>
      <c r="K83" s="73"/>
      <c r="L83" s="84">
        <v>-23863831.469999999</v>
      </c>
      <c r="M83" s="73"/>
      <c r="N83" s="84">
        <f>-'Schedule 13 Direct Assignment'!F19-'Schedule 13 Direct Assignment'!G19</f>
        <v>-16488416.879999999</v>
      </c>
      <c r="O83" s="73"/>
      <c r="P83" s="47">
        <f t="shared" si="4"/>
        <v>2098923987.6900001</v>
      </c>
      <c r="Q83" s="11"/>
    </row>
    <row r="84" spans="2:17">
      <c r="B84" s="9"/>
      <c r="C84" t="s">
        <v>22</v>
      </c>
      <c r="D84" t="s">
        <v>27</v>
      </c>
      <c r="E84">
        <v>2024</v>
      </c>
      <c r="F84" s="84">
        <v>2107842494.75</v>
      </c>
      <c r="G84" s="73"/>
      <c r="H84" s="84">
        <v>0</v>
      </c>
      <c r="I84" s="73"/>
      <c r="J84" s="84">
        <v>0</v>
      </c>
      <c r="K84" s="73"/>
      <c r="L84" s="84">
        <v>-23863831.469999999</v>
      </c>
      <c r="M84" s="73"/>
      <c r="N84" s="84">
        <f>-'Schedule 13 Direct Assignment'!F20-'Schedule 13 Direct Assignment'!G20</f>
        <v>-16488416.879999999</v>
      </c>
      <c r="O84" s="73"/>
      <c r="P84" s="47">
        <f t="shared" si="4"/>
        <v>2100467080.1600001</v>
      </c>
      <c r="Q84" s="11"/>
    </row>
    <row r="85" spans="2:17">
      <c r="B85" s="9"/>
      <c r="C85" t="s">
        <v>23</v>
      </c>
      <c r="D85" t="s">
        <v>27</v>
      </c>
      <c r="E85">
        <v>2024</v>
      </c>
      <c r="F85" s="84">
        <v>2109393333.7400002</v>
      </c>
      <c r="G85" s="73"/>
      <c r="H85" s="84">
        <v>0</v>
      </c>
      <c r="I85" s="73"/>
      <c r="J85" s="84">
        <v>0</v>
      </c>
      <c r="K85" s="73"/>
      <c r="L85" s="84">
        <v>-23863831.469999999</v>
      </c>
      <c r="M85" s="73"/>
      <c r="N85" s="84">
        <f>-'Schedule 13 Direct Assignment'!F21-'Schedule 13 Direct Assignment'!G21</f>
        <v>-16488416.879999999</v>
      </c>
      <c r="O85" s="73"/>
      <c r="P85" s="47">
        <f t="shared" si="4"/>
        <v>2102017919.1500003</v>
      </c>
      <c r="Q85" s="11"/>
    </row>
    <row r="86" spans="2:17">
      <c r="B86" s="9"/>
      <c r="C86" t="s">
        <v>24</v>
      </c>
      <c r="D86" t="s">
        <v>27</v>
      </c>
      <c r="E86">
        <v>2024</v>
      </c>
      <c r="F86" s="84">
        <v>2109610442.9799998</v>
      </c>
      <c r="G86" s="73"/>
      <c r="H86" s="84">
        <v>0</v>
      </c>
      <c r="I86" s="73"/>
      <c r="J86" s="84">
        <v>0</v>
      </c>
      <c r="K86" s="73"/>
      <c r="L86" s="84">
        <v>-23863831.469999999</v>
      </c>
      <c r="M86" s="73"/>
      <c r="N86" s="84">
        <f>-'Schedule 13 Direct Assignment'!F22-'Schedule 13 Direct Assignment'!G22</f>
        <v>-16475158.139999997</v>
      </c>
      <c r="O86" s="73"/>
      <c r="P86" s="47">
        <f t="shared" si="4"/>
        <v>2102221769.6499999</v>
      </c>
      <c r="Q86" s="11"/>
    </row>
    <row r="87" spans="2:17">
      <c r="B87" s="9"/>
      <c r="C87" t="s">
        <v>13</v>
      </c>
      <c r="D87" t="s">
        <v>43</v>
      </c>
      <c r="E87">
        <v>2024</v>
      </c>
      <c r="F87" s="494">
        <f>+'FERC Form 1 Inputs'!L20</f>
        <v>2132950793</v>
      </c>
      <c r="G87" s="26"/>
      <c r="H87" s="277">
        <v>0</v>
      </c>
      <c r="I87" s="26"/>
      <c r="J87" s="277">
        <v>0</v>
      </c>
      <c r="K87" s="73"/>
      <c r="L87" s="277">
        <v>-23863831.469999999</v>
      </c>
      <c r="M87" s="26"/>
      <c r="N87" s="277">
        <f>-'Schedule 13 Direct Assignment'!F23-'Schedule 13 Direct Assignment'!G23</f>
        <v>-16475158.139999997</v>
      </c>
      <c r="O87" s="26"/>
      <c r="P87" s="47">
        <f t="shared" si="4"/>
        <v>2125562119.6700001</v>
      </c>
      <c r="Q87" s="11"/>
    </row>
    <row r="88" spans="2:17">
      <c r="B88" s="9"/>
      <c r="C88" s="1" t="s">
        <v>41</v>
      </c>
      <c r="F88" s="10">
        <f>AVERAGE(F75:F87)</f>
        <v>2093978050.7884619</v>
      </c>
      <c r="G88" s="73"/>
      <c r="H88" s="10">
        <f>AVERAGE(H75:H87)</f>
        <v>0</v>
      </c>
      <c r="I88" s="73"/>
      <c r="J88" s="10">
        <f>AVERAGE(J75:J87)</f>
        <v>0</v>
      </c>
      <c r="K88" s="73"/>
      <c r="L88" s="10">
        <f>AVERAGE(L75:L87)</f>
        <v>-23863831.470000003</v>
      </c>
      <c r="M88" s="73"/>
      <c r="N88" s="10">
        <f>AVERAGE(N75:N87)</f>
        <v>-16486377.07384615</v>
      </c>
      <c r="O88" s="73"/>
      <c r="P88" s="335">
        <f>AVERAGE(P75:P87)</f>
        <v>2086600596.3923082</v>
      </c>
      <c r="Q88" s="11"/>
    </row>
    <row r="89" spans="2:17">
      <c r="B89" s="9"/>
      <c r="F89" s="10"/>
      <c r="G89" s="73"/>
      <c r="H89" s="73"/>
      <c r="I89" s="73"/>
      <c r="J89" s="73"/>
      <c r="K89" s="73"/>
      <c r="L89" s="73"/>
      <c r="M89" s="73"/>
      <c r="N89" s="73"/>
      <c r="O89" s="73"/>
      <c r="Q89" s="11"/>
    </row>
    <row r="90" spans="2:17">
      <c r="B90" s="9"/>
      <c r="C90" t="s">
        <v>46</v>
      </c>
      <c r="F90" s="10"/>
      <c r="G90" s="73"/>
      <c r="H90" s="73"/>
      <c r="I90" s="73"/>
      <c r="J90" s="73"/>
      <c r="K90" s="73"/>
      <c r="L90" s="73"/>
      <c r="M90" s="73"/>
      <c r="N90" s="73"/>
      <c r="O90" s="73"/>
      <c r="Q90" s="11"/>
    </row>
    <row r="91" spans="2:17">
      <c r="B91" s="9"/>
      <c r="C91" t="s">
        <v>47</v>
      </c>
      <c r="D91" t="s">
        <v>48</v>
      </c>
      <c r="F91" s="10">
        <f>+F88+F71+F54+F37+F20</f>
        <v>6355828577.1115398</v>
      </c>
      <c r="G91" s="73"/>
      <c r="H91" s="73"/>
      <c r="I91" s="73"/>
      <c r="J91" s="73"/>
      <c r="K91" s="73"/>
      <c r="L91" s="73"/>
      <c r="M91" s="73"/>
      <c r="N91" s="73"/>
      <c r="O91" s="73"/>
      <c r="P91" s="10">
        <f>+P88+P71+P54+P37+P20</f>
        <v>5933956968.9794579</v>
      </c>
      <c r="Q91" s="11" t="s">
        <v>571</v>
      </c>
    </row>
    <row r="92" spans="2:17">
      <c r="B92" s="9"/>
      <c r="F92" s="10"/>
      <c r="G92" s="73"/>
      <c r="H92" s="73"/>
      <c r="I92" s="73"/>
      <c r="J92" s="73"/>
      <c r="K92" s="73"/>
      <c r="L92" s="73"/>
      <c r="M92" s="73"/>
      <c r="N92" s="73"/>
      <c r="O92" s="73"/>
      <c r="Q92" s="11"/>
    </row>
    <row r="93" spans="2:17">
      <c r="B93" s="9"/>
      <c r="C93" s="1" t="s">
        <v>50</v>
      </c>
      <c r="F93" s="10">
        <f>+F54+F71</f>
        <v>269978805.83538467</v>
      </c>
      <c r="G93" s="73"/>
      <c r="H93" s="73"/>
      <c r="I93" s="73"/>
      <c r="J93" s="73"/>
      <c r="K93" s="73"/>
      <c r="L93" s="73"/>
      <c r="M93" s="73"/>
      <c r="N93" s="73"/>
      <c r="O93" s="73"/>
      <c r="P93" s="10">
        <f>+P54+P71</f>
        <v>269959332.83538467</v>
      </c>
      <c r="Q93" s="11" t="s">
        <v>578</v>
      </c>
    </row>
    <row r="94" spans="2:17" ht="15.75" thickBot="1">
      <c r="B94" s="14"/>
      <c r="C94" s="15"/>
      <c r="D94" s="15"/>
      <c r="E94" s="15"/>
      <c r="F94" s="16"/>
      <c r="G94" s="76"/>
      <c r="H94" s="76"/>
      <c r="I94" s="76"/>
      <c r="J94" s="76"/>
      <c r="K94" s="76"/>
      <c r="L94" s="76"/>
      <c r="M94" s="76"/>
      <c r="N94" s="76"/>
      <c r="O94" s="76"/>
      <c r="P94" s="15"/>
      <c r="Q94" s="17"/>
    </row>
    <row r="95" spans="2:17" ht="15.75" thickBot="1"/>
    <row r="96" spans="2:17">
      <c r="B96" s="5" t="s">
        <v>71</v>
      </c>
      <c r="C96" s="6"/>
      <c r="D96" s="6"/>
      <c r="E96" s="6"/>
      <c r="F96" s="7"/>
      <c r="G96" s="83"/>
      <c r="H96" s="83"/>
      <c r="I96" s="83"/>
      <c r="J96" s="83"/>
      <c r="K96" s="83"/>
      <c r="L96" s="83"/>
      <c r="M96" s="83"/>
      <c r="N96" s="83"/>
      <c r="O96" s="83"/>
      <c r="P96" s="6"/>
      <c r="Q96" s="8"/>
    </row>
    <row r="97" spans="2:24">
      <c r="B97" s="9"/>
      <c r="C97" s="1" t="s">
        <v>76</v>
      </c>
      <c r="D97" s="312"/>
      <c r="F97" s="73"/>
      <c r="G97" s="73"/>
      <c r="H97" s="73"/>
      <c r="I97" s="73"/>
      <c r="J97" s="73"/>
      <c r="K97" s="73"/>
      <c r="L97" s="73"/>
      <c r="M97" s="73"/>
      <c r="N97" s="73"/>
      <c r="O97" s="73"/>
      <c r="Q97" s="11"/>
    </row>
    <row r="98" spans="2:24">
      <c r="B98" s="9"/>
      <c r="C98" s="12" t="s">
        <v>10</v>
      </c>
      <c r="D98" s="12" t="s">
        <v>11</v>
      </c>
      <c r="E98" s="12"/>
      <c r="F98" s="13" t="s">
        <v>12</v>
      </c>
      <c r="G98" s="133"/>
      <c r="H98" s="237" t="str">
        <f>+H6</f>
        <v>Settlement Adjustment</v>
      </c>
      <c r="I98" s="133"/>
      <c r="J98" s="237" t="str">
        <f>+J6</f>
        <v>Remove Right of Use Asset</v>
      </c>
      <c r="K98" s="237"/>
      <c r="L98" s="457" t="s">
        <v>1572</v>
      </c>
      <c r="M98" s="133"/>
      <c r="N98" s="237" t="str">
        <f>+N6</f>
        <v>Direct Assignment</v>
      </c>
      <c r="O98" s="12"/>
      <c r="P98" s="12" t="s">
        <v>543</v>
      </c>
      <c r="Q98" s="11"/>
    </row>
    <row r="99" spans="2:24">
      <c r="B99" s="9"/>
      <c r="C99" t="s">
        <v>13</v>
      </c>
      <c r="D99" t="s">
        <v>72</v>
      </c>
      <c r="E99">
        <v>2023</v>
      </c>
      <c r="F99" s="73">
        <f>'FERC Form 1 Inputs'!I24</f>
        <v>465362373</v>
      </c>
      <c r="G99" s="73"/>
      <c r="H99" s="84">
        <f>+'Schedule 1C - Settlement Adjust'!$G$32+'Schedule 1C - Settlement Adjust'!G196+'Schedule 1C - Settlement Adjust'!G369+'Schedule 1C - Settlement Adjust'!G541</f>
        <v>1715829.1235205638</v>
      </c>
      <c r="I99" s="73"/>
      <c r="J99" s="84">
        <v>0</v>
      </c>
      <c r="K99" s="73"/>
      <c r="L99" s="84">
        <v>0</v>
      </c>
      <c r="M99" s="73"/>
      <c r="N99" s="84">
        <f>+-'Schedule 13 Direct Assignment'!M31</f>
        <v>54871851.261189207</v>
      </c>
      <c r="O99"/>
      <c r="P99" s="47">
        <f t="shared" ref="P99:P110" si="5">+F99+H99+J99+L99-N99</f>
        <v>412206350.86233133</v>
      </c>
      <c r="Q99" s="132"/>
      <c r="S99" s="3"/>
      <c r="T99" s="3"/>
      <c r="U99" s="3"/>
      <c r="V99" s="3"/>
      <c r="W99" s="3"/>
      <c r="X99" s="3"/>
    </row>
    <row r="100" spans="2:24">
      <c r="B100" s="9"/>
      <c r="C100" t="s">
        <v>14</v>
      </c>
      <c r="D100" t="s">
        <v>27</v>
      </c>
      <c r="E100">
        <v>2024</v>
      </c>
      <c r="F100" s="84">
        <v>468879955.42999977</v>
      </c>
      <c r="G100" s="73"/>
      <c r="H100" s="84">
        <f>+'Schedule 1C - Settlement Adjust'!$G$32+'Schedule 1C - Settlement Adjust'!G197+'Schedule 1C - Settlement Adjust'!G370+'Schedule 1C - Settlement Adjust'!G542</f>
        <v>1711724.3494267792</v>
      </c>
      <c r="I100" s="73"/>
      <c r="J100" s="84">
        <v>0</v>
      </c>
      <c r="K100" s="73"/>
      <c r="L100" s="84">
        <v>0</v>
      </c>
      <c r="M100" s="73"/>
      <c r="N100" s="84">
        <f>+-'Schedule 13 Direct Assignment'!M32</f>
        <v>55845981.498745896</v>
      </c>
      <c r="O100"/>
      <c r="P100" s="47">
        <f t="shared" si="5"/>
        <v>414745698.28068066</v>
      </c>
      <c r="Q100" s="132"/>
      <c r="S100" s="3"/>
      <c r="T100" s="3"/>
      <c r="U100" s="3"/>
      <c r="V100" s="3"/>
      <c r="W100" s="3"/>
      <c r="X100" s="3"/>
    </row>
    <row r="101" spans="2:24">
      <c r="B101" s="9"/>
      <c r="C101" t="s">
        <v>15</v>
      </c>
      <c r="D101" t="s">
        <v>27</v>
      </c>
      <c r="E101">
        <v>2024</v>
      </c>
      <c r="F101" s="84">
        <v>472245377.44</v>
      </c>
      <c r="G101" s="73"/>
      <c r="H101" s="84">
        <f>+'Schedule 1C - Settlement Adjust'!$G$32+'Schedule 1C - Settlement Adjust'!G198+'Schedule 1C - Settlement Adjust'!G371+'Schedule 1C - Settlement Adjust'!G543</f>
        <v>1707619.575332995</v>
      </c>
      <c r="I101" s="73"/>
      <c r="J101" s="84">
        <v>0</v>
      </c>
      <c r="K101" s="73"/>
      <c r="L101" s="84">
        <v>0</v>
      </c>
      <c r="M101" s="73"/>
      <c r="N101" s="84">
        <f>+-'Schedule 13 Direct Assignment'!M33</f>
        <v>56820113.956302606</v>
      </c>
      <c r="O101"/>
      <c r="P101" s="47">
        <f t="shared" si="5"/>
        <v>417132883.05903041</v>
      </c>
      <c r="Q101" s="132"/>
      <c r="S101" s="3"/>
      <c r="T101" s="3"/>
      <c r="U101" s="3"/>
      <c r="V101" s="3"/>
      <c r="W101" s="3"/>
      <c r="X101" s="3"/>
    </row>
    <row r="102" spans="2:24">
      <c r="B102" s="9"/>
      <c r="C102" t="s">
        <v>16</v>
      </c>
      <c r="D102" t="s">
        <v>27</v>
      </c>
      <c r="E102">
        <v>2024</v>
      </c>
      <c r="F102" s="84">
        <v>475166078.01000005</v>
      </c>
      <c r="G102" s="73"/>
      <c r="H102" s="84">
        <f>+'Schedule 1C - Settlement Adjust'!$G$32+'Schedule 1C - Settlement Adjust'!G199+'Schedule 1C - Settlement Adjust'!G372+'Schedule 1C - Settlement Adjust'!G544</f>
        <v>1703514.8012392106</v>
      </c>
      <c r="I102" s="73"/>
      <c r="J102" s="84">
        <v>0</v>
      </c>
      <c r="K102" s="73"/>
      <c r="L102" s="84">
        <v>0</v>
      </c>
      <c r="M102" s="73"/>
      <c r="N102" s="84">
        <f>+-'Schedule 13 Direct Assignment'!M34</f>
        <v>57793987.793859303</v>
      </c>
      <c r="O102"/>
      <c r="P102" s="47">
        <f t="shared" si="5"/>
        <v>419075605.01737994</v>
      </c>
      <c r="Q102" s="132"/>
      <c r="S102" s="3"/>
      <c r="T102" s="3"/>
      <c r="U102" s="3"/>
      <c r="V102" s="3"/>
      <c r="W102" s="3"/>
      <c r="X102" s="3"/>
    </row>
    <row r="103" spans="2:24">
      <c r="B103" s="9"/>
      <c r="C103" t="s">
        <v>17</v>
      </c>
      <c r="D103" t="s">
        <v>27</v>
      </c>
      <c r="E103">
        <v>2024</v>
      </c>
      <c r="F103" s="84">
        <v>478446856.60999972</v>
      </c>
      <c r="G103" s="73"/>
      <c r="H103" s="84">
        <f>+'Schedule 1C - Settlement Adjust'!$G$32+'Schedule 1C - Settlement Adjust'!G200+'Schedule 1C - Settlement Adjust'!G373+'Schedule 1C - Settlement Adjust'!G545</f>
        <v>1699410.027145426</v>
      </c>
      <c r="I103" s="73"/>
      <c r="J103" s="84">
        <v>0</v>
      </c>
      <c r="K103" s="73"/>
      <c r="L103" s="84">
        <v>0</v>
      </c>
      <c r="M103" s="73"/>
      <c r="N103" s="84">
        <f>+-'Schedule 13 Direct Assignment'!M35</f>
        <v>58767501.062235661</v>
      </c>
      <c r="O103"/>
      <c r="P103" s="47">
        <f t="shared" si="5"/>
        <v>421378765.57490951</v>
      </c>
      <c r="Q103" s="132"/>
      <c r="S103" s="3"/>
      <c r="T103" s="3"/>
      <c r="U103" s="3"/>
      <c r="V103" s="3"/>
      <c r="W103" s="3"/>
      <c r="X103" s="3"/>
    </row>
    <row r="104" spans="2:24">
      <c r="B104" s="9"/>
      <c r="C104" t="s">
        <v>18</v>
      </c>
      <c r="D104" t="s">
        <v>27</v>
      </c>
      <c r="E104">
        <v>2024</v>
      </c>
      <c r="F104" s="84">
        <v>481204644.85999966</v>
      </c>
      <c r="G104" s="73"/>
      <c r="H104" s="84">
        <f>+'Schedule 1C - Settlement Adjust'!$G$32+'Schedule 1C - Settlement Adjust'!G201+'Schedule 1C - Settlement Adjust'!G374+'Schedule 1C - Settlement Adjust'!G546</f>
        <v>1695305.2530516419</v>
      </c>
      <c r="I104" s="73"/>
      <c r="J104" s="84">
        <v>0</v>
      </c>
      <c r="K104" s="73"/>
      <c r="L104" s="84">
        <v>0</v>
      </c>
      <c r="M104" s="73"/>
      <c r="N104" s="84">
        <f>+-'Schedule 13 Direct Assignment'!M36</f>
        <v>59741049.887087777</v>
      </c>
      <c r="O104"/>
      <c r="P104" s="47">
        <f t="shared" si="5"/>
        <v>423158900.22596353</v>
      </c>
      <c r="Q104" s="132"/>
      <c r="S104" s="3"/>
      <c r="T104" s="3"/>
      <c r="U104" s="3"/>
      <c r="V104" s="3"/>
      <c r="W104" s="3"/>
      <c r="X104" s="3"/>
    </row>
    <row r="105" spans="2:24">
      <c r="B105" s="9"/>
      <c r="C105" t="s">
        <v>19</v>
      </c>
      <c r="D105" t="s">
        <v>27</v>
      </c>
      <c r="E105">
        <v>2024</v>
      </c>
      <c r="F105" s="84">
        <v>484640025.66000009</v>
      </c>
      <c r="G105" s="73"/>
      <c r="H105" s="84">
        <f>+'Schedule 1C - Settlement Adjust'!$G$32+'Schedule 1C - Settlement Adjust'!G202+'Schedule 1C - Settlement Adjust'!G375+'Schedule 1C - Settlement Adjust'!G547</f>
        <v>1691200.4789578575</v>
      </c>
      <c r="I105" s="73"/>
      <c r="J105" s="84">
        <v>0</v>
      </c>
      <c r="K105" s="73"/>
      <c r="L105" s="84">
        <v>0</v>
      </c>
      <c r="M105" s="73"/>
      <c r="N105" s="84">
        <f>+-'Schedule 13 Direct Assignment'!M37</f>
        <v>60717355.421939895</v>
      </c>
      <c r="O105"/>
      <c r="P105" s="47">
        <f t="shared" si="5"/>
        <v>425613870.71701801</v>
      </c>
      <c r="Q105" s="132"/>
      <c r="S105" s="3"/>
      <c r="T105" s="3"/>
      <c r="U105" s="3"/>
      <c r="V105" s="3"/>
      <c r="W105" s="3"/>
      <c r="X105" s="3"/>
    </row>
    <row r="106" spans="2:24">
      <c r="B106" s="9"/>
      <c r="C106" t="s">
        <v>20</v>
      </c>
      <c r="D106" t="s">
        <v>27</v>
      </c>
      <c r="E106">
        <v>2024</v>
      </c>
      <c r="F106" s="84">
        <v>487874827.43999994</v>
      </c>
      <c r="G106" s="73"/>
      <c r="H106" s="84">
        <f>+'Schedule 1C - Settlement Adjust'!$G$32+'Schedule 1C - Settlement Adjust'!G203+'Schedule 1C - Settlement Adjust'!G376+'Schedule 1C - Settlement Adjust'!G548</f>
        <v>1687095.7048640728</v>
      </c>
      <c r="I106" s="73"/>
      <c r="J106" s="84">
        <v>0</v>
      </c>
      <c r="K106" s="73"/>
      <c r="L106" s="84">
        <v>0</v>
      </c>
      <c r="M106" s="73"/>
      <c r="N106" s="84">
        <f>+-'Schedule 13 Direct Assignment'!M38</f>
        <v>61693919.926792018</v>
      </c>
      <c r="O106"/>
      <c r="P106" s="47">
        <f t="shared" si="5"/>
        <v>427868003.218072</v>
      </c>
      <c r="Q106" s="132"/>
      <c r="S106" s="3"/>
      <c r="T106" s="3"/>
      <c r="U106" s="3"/>
      <c r="V106" s="3"/>
      <c r="W106" s="3"/>
      <c r="X106" s="3"/>
    </row>
    <row r="107" spans="2:24">
      <c r="B107" s="9"/>
      <c r="C107" t="s">
        <v>21</v>
      </c>
      <c r="D107" t="s">
        <v>27</v>
      </c>
      <c r="E107">
        <v>2024</v>
      </c>
      <c r="F107" s="84">
        <v>494875489.81999999</v>
      </c>
      <c r="G107" s="73"/>
      <c r="H107" s="84">
        <f>+'Schedule 1C - Settlement Adjust'!$G$32+'Schedule 1C - Settlement Adjust'!G204+'Schedule 1C - Settlement Adjust'!G377+'Schedule 1C - Settlement Adjust'!G549</f>
        <v>1682990.9307702887</v>
      </c>
      <c r="I107" s="73"/>
      <c r="J107" s="84">
        <v>0</v>
      </c>
      <c r="K107" s="73"/>
      <c r="L107" s="84">
        <v>0</v>
      </c>
      <c r="M107" s="73"/>
      <c r="N107" s="84">
        <f>+-'Schedule 13 Direct Assignment'!M39</f>
        <v>62671603.361644134</v>
      </c>
      <c r="O107"/>
      <c r="P107" s="47">
        <f>+F107+H107+J107+L107-N107</f>
        <v>433886877.38912612</v>
      </c>
      <c r="Q107" s="132"/>
      <c r="S107" s="3"/>
      <c r="T107" s="3"/>
      <c r="U107" s="3"/>
      <c r="V107" s="3"/>
      <c r="W107" s="3"/>
      <c r="X107" s="3"/>
    </row>
    <row r="108" spans="2:24">
      <c r="B108" s="9"/>
      <c r="C108" t="s">
        <v>22</v>
      </c>
      <c r="D108" t="s">
        <v>27</v>
      </c>
      <c r="E108">
        <v>2024</v>
      </c>
      <c r="F108" s="84">
        <v>498731255.41999972</v>
      </c>
      <c r="G108" s="73"/>
      <c r="H108" s="84">
        <f>+'Schedule 1C - Settlement Adjust'!$G$32+'Schedule 1C - Settlement Adjust'!G205+'Schedule 1C - Settlement Adjust'!G378+'Schedule 1C - Settlement Adjust'!G550</f>
        <v>1678886.1566765043</v>
      </c>
      <c r="I108" s="73"/>
      <c r="J108" s="84">
        <v>0</v>
      </c>
      <c r="K108" s="73"/>
      <c r="L108" s="84">
        <v>0</v>
      </c>
      <c r="M108" s="73"/>
      <c r="N108" s="84">
        <f>+-'Schedule 13 Direct Assignment'!M40</f>
        <v>63649514.896496259</v>
      </c>
      <c r="O108"/>
      <c r="P108" s="47">
        <f t="shared" si="5"/>
        <v>436760626.68018001</v>
      </c>
      <c r="Q108" s="132"/>
      <c r="S108" s="3"/>
      <c r="T108" s="3"/>
      <c r="U108" s="3"/>
      <c r="V108" s="3"/>
      <c r="W108" s="3"/>
      <c r="X108" s="3"/>
    </row>
    <row r="109" spans="2:24">
      <c r="B109" s="9"/>
      <c r="C109" t="s">
        <v>23</v>
      </c>
      <c r="D109" t="s">
        <v>27</v>
      </c>
      <c r="E109">
        <v>2024</v>
      </c>
      <c r="F109" s="84">
        <v>501511446.27999985</v>
      </c>
      <c r="G109" s="73"/>
      <c r="H109" s="84">
        <f>+'Schedule 1C - Settlement Adjust'!$G$32+'Schedule 1C - Settlement Adjust'!G206+'Schedule 1C - Settlement Adjust'!G379+'Schedule 1C - Settlement Adjust'!G551</f>
        <v>1674781.3825827199</v>
      </c>
      <c r="I109" s="73"/>
      <c r="J109" s="84">
        <v>0</v>
      </c>
      <c r="K109" s="73"/>
      <c r="L109" s="84">
        <v>0</v>
      </c>
      <c r="M109" s="73"/>
      <c r="N109" s="84">
        <f>+-'Schedule 13 Direct Assignment'!M41</f>
        <v>64624730.441348374</v>
      </c>
      <c r="O109"/>
      <c r="P109" s="47">
        <f t="shared" si="5"/>
        <v>438561497.2212342</v>
      </c>
      <c r="Q109" s="132"/>
      <c r="S109" s="3"/>
      <c r="T109" s="3"/>
      <c r="U109" s="3"/>
      <c r="V109" s="3"/>
      <c r="W109" s="3"/>
      <c r="X109" s="3"/>
    </row>
    <row r="110" spans="2:24">
      <c r="B110" s="9"/>
      <c r="C110" t="s">
        <v>24</v>
      </c>
      <c r="D110" t="s">
        <v>27</v>
      </c>
      <c r="E110">
        <v>2024</v>
      </c>
      <c r="F110" s="84">
        <v>505634234.32000005</v>
      </c>
      <c r="G110" s="73"/>
      <c r="H110" s="84">
        <f>+'Schedule 1C - Settlement Adjust'!$G$32+'Schedule 1C - Settlement Adjust'!G207+'Schedule 1C - Settlement Adjust'!G380+'Schedule 1C - Settlement Adjust'!G552</f>
        <v>1670676.6084889355</v>
      </c>
      <c r="I110" s="73"/>
      <c r="J110" s="84">
        <v>0</v>
      </c>
      <c r="K110" s="73"/>
      <c r="L110" s="84">
        <v>0</v>
      </c>
      <c r="M110" s="73"/>
      <c r="N110" s="84">
        <f>+-'Schedule 13 Direct Assignment'!M42</f>
        <v>65582245.486200482</v>
      </c>
      <c r="O110"/>
      <c r="P110" s="47">
        <f t="shared" si="5"/>
        <v>441722665.44228852</v>
      </c>
      <c r="Q110" s="132"/>
      <c r="S110" s="3"/>
      <c r="T110" s="3"/>
      <c r="U110" s="3"/>
      <c r="V110" s="3"/>
      <c r="W110" s="3"/>
      <c r="X110" s="3"/>
    </row>
    <row r="111" spans="2:24">
      <c r="B111" s="9"/>
      <c r="C111" t="s">
        <v>13</v>
      </c>
      <c r="D111" t="s">
        <v>73</v>
      </c>
      <c r="E111">
        <v>2024</v>
      </c>
      <c r="F111" s="494">
        <f>+'FERC Form 1 Inputs'!L24</f>
        <v>510374174</v>
      </c>
      <c r="G111" s="26"/>
      <c r="H111" s="84">
        <f>+'Schedule 1C - Settlement Adjust'!$G$32+'Schedule 1C - Settlement Adjust'!G208+'Schedule 1C - Settlement Adjust'!G381+'Schedule 1C - Settlement Adjust'!G553</f>
        <v>1666571.8343951514</v>
      </c>
      <c r="I111" s="26"/>
      <c r="J111" s="277">
        <v>0</v>
      </c>
      <c r="K111" s="73"/>
      <c r="L111" s="277">
        <v>0</v>
      </c>
      <c r="M111" s="26"/>
      <c r="N111" s="277">
        <f>+-'Schedule 13 Direct Assignment'!M43</f>
        <v>66557483.951052591</v>
      </c>
      <c r="O111"/>
      <c r="P111" s="47">
        <f>+F111+H111+J111+L111-N111</f>
        <v>445483261.88334256</v>
      </c>
      <c r="Q111" s="132"/>
      <c r="S111" s="3"/>
      <c r="T111" s="3"/>
      <c r="U111" s="3"/>
      <c r="V111" s="3"/>
      <c r="W111" s="3"/>
      <c r="X111" s="3"/>
    </row>
    <row r="112" spans="2:24">
      <c r="B112" s="9"/>
      <c r="C112" s="1" t="s">
        <v>77</v>
      </c>
      <c r="F112" s="10">
        <f>AVERAGE(F99:F111)</f>
        <v>486534364.48384607</v>
      </c>
      <c r="G112" s="73"/>
      <c r="H112" s="252">
        <f>AVERAGE(H99:H111)</f>
        <v>1691200.4789578577</v>
      </c>
      <c r="I112" s="73"/>
      <c r="J112" s="10">
        <f>AVERAGE(J99:J111)</f>
        <v>0</v>
      </c>
      <c r="K112" s="73"/>
      <c r="L112" s="10">
        <f>AVERAGE(L99:L111)</f>
        <v>0</v>
      </c>
      <c r="M112" s="73"/>
      <c r="N112" s="10">
        <f>AVERAGE(N99:N111)</f>
        <v>60718256.841914929</v>
      </c>
      <c r="O112"/>
      <c r="P112" s="335">
        <f>AVERAGE(P99:P111)</f>
        <v>427507308.12088901</v>
      </c>
      <c r="Q112" s="11" t="s">
        <v>582</v>
      </c>
      <c r="S112" s="3"/>
      <c r="T112" s="3"/>
      <c r="U112" s="3"/>
      <c r="V112" s="3"/>
      <c r="W112" s="3"/>
      <c r="X112" s="3"/>
    </row>
    <row r="113" spans="2:20">
      <c r="B113" s="9"/>
      <c r="F113" s="10"/>
      <c r="G113" s="73"/>
      <c r="H113" s="73"/>
      <c r="I113" s="73"/>
      <c r="J113" s="73"/>
      <c r="K113" s="73"/>
      <c r="L113" s="73"/>
      <c r="M113" s="73"/>
      <c r="N113" s="73"/>
      <c r="O113" s="73"/>
      <c r="Q113" s="11"/>
      <c r="T113" s="3"/>
    </row>
    <row r="114" spans="2:20">
      <c r="B114" s="9"/>
      <c r="C114" s="1" t="s">
        <v>78</v>
      </c>
      <c r="F114" s="10"/>
      <c r="G114" s="73"/>
      <c r="H114" s="73"/>
      <c r="I114" s="73"/>
      <c r="J114" s="73"/>
      <c r="K114" s="73"/>
      <c r="L114" s="73"/>
      <c r="M114" s="73"/>
      <c r="N114" s="73"/>
      <c r="O114" s="73"/>
      <c r="Q114" s="11"/>
    </row>
    <row r="115" spans="2:20">
      <c r="B115" s="9"/>
      <c r="C115" s="12" t="s">
        <v>10</v>
      </c>
      <c r="D115" s="12" t="s">
        <v>11</v>
      </c>
      <c r="E115" s="12"/>
      <c r="F115" s="13" t="s">
        <v>12</v>
      </c>
      <c r="G115" s="133"/>
      <c r="H115" s="237" t="str">
        <f>+H98</f>
        <v>Settlement Adjustment</v>
      </c>
      <c r="I115" s="133"/>
      <c r="J115" s="237" t="str">
        <f>+J98</f>
        <v>Remove Right of Use Asset</v>
      </c>
      <c r="K115" s="237"/>
      <c r="L115" s="457" t="s">
        <v>1572</v>
      </c>
      <c r="M115" s="133"/>
      <c r="N115" s="237" t="str">
        <f>+N98</f>
        <v>Direct Assignment</v>
      </c>
      <c r="O115" s="12"/>
      <c r="P115" s="12" t="s">
        <v>543</v>
      </c>
      <c r="Q115" s="11"/>
    </row>
    <row r="116" spans="2:20">
      <c r="B116" s="9"/>
      <c r="C116" t="s">
        <v>13</v>
      </c>
      <c r="D116" t="s">
        <v>74</v>
      </c>
      <c r="E116">
        <v>2023</v>
      </c>
      <c r="F116" s="73">
        <f>'FERC Form 1 Inputs'!I25</f>
        <v>756154255</v>
      </c>
      <c r="G116" s="73"/>
      <c r="H116" s="84">
        <v>0</v>
      </c>
      <c r="I116" s="73"/>
      <c r="J116" s="84">
        <v>0</v>
      </c>
      <c r="K116" s="73"/>
      <c r="L116" s="84">
        <v>-13598.77</v>
      </c>
      <c r="M116" s="73"/>
      <c r="N116" s="84">
        <v>0</v>
      </c>
      <c r="O116"/>
      <c r="P116" s="47">
        <f t="shared" ref="P116:P128" si="6">+F116+H116+J116+L116-N116</f>
        <v>756140656.23000002</v>
      </c>
      <c r="Q116" s="11"/>
    </row>
    <row r="117" spans="2:20">
      <c r="B117" s="9"/>
      <c r="C117" t="s">
        <v>14</v>
      </c>
      <c r="D117" t="s">
        <v>27</v>
      </c>
      <c r="E117">
        <v>2024</v>
      </c>
      <c r="F117" s="84">
        <v>762580436.05999982</v>
      </c>
      <c r="G117" s="73"/>
      <c r="H117" s="84">
        <v>0</v>
      </c>
      <c r="I117" s="73"/>
      <c r="J117" s="84">
        <v>0</v>
      </c>
      <c r="K117" s="73"/>
      <c r="L117" s="84">
        <v>-13623.91</v>
      </c>
      <c r="M117" s="73"/>
      <c r="N117" s="84">
        <v>0</v>
      </c>
      <c r="O117"/>
      <c r="P117" s="47">
        <f t="shared" si="6"/>
        <v>762566812.14999986</v>
      </c>
      <c r="Q117" s="11"/>
    </row>
    <row r="118" spans="2:20">
      <c r="B118" s="9"/>
      <c r="C118" t="s">
        <v>15</v>
      </c>
      <c r="D118" t="s">
        <v>27</v>
      </c>
      <c r="E118">
        <v>2024</v>
      </c>
      <c r="F118" s="84">
        <v>767021984.00999999</v>
      </c>
      <c r="G118" s="73"/>
      <c r="H118" s="84">
        <v>0</v>
      </c>
      <c r="I118" s="73"/>
      <c r="J118" s="84">
        <v>0</v>
      </c>
      <c r="K118" s="73"/>
      <c r="L118" s="84">
        <v>-13649.04</v>
      </c>
      <c r="M118" s="73"/>
      <c r="N118" s="84">
        <v>0</v>
      </c>
      <c r="O118"/>
      <c r="P118" s="47">
        <f t="shared" si="6"/>
        <v>767008334.97000003</v>
      </c>
      <c r="Q118" s="11"/>
    </row>
    <row r="119" spans="2:20">
      <c r="B119" s="9"/>
      <c r="C119" t="s">
        <v>16</v>
      </c>
      <c r="D119" t="s">
        <v>27</v>
      </c>
      <c r="E119">
        <v>2024</v>
      </c>
      <c r="F119" s="84">
        <v>768140311.09000003</v>
      </c>
      <c r="G119" s="73"/>
      <c r="H119" s="84">
        <v>0</v>
      </c>
      <c r="I119" s="73"/>
      <c r="J119" s="84">
        <v>0</v>
      </c>
      <c r="K119" s="73"/>
      <c r="L119" s="84">
        <v>-13674.18</v>
      </c>
      <c r="M119" s="73"/>
      <c r="N119" s="84">
        <v>0</v>
      </c>
      <c r="O119"/>
      <c r="P119" s="47">
        <f t="shared" si="6"/>
        <v>768126636.91000009</v>
      </c>
      <c r="Q119" s="11"/>
    </row>
    <row r="120" spans="2:20">
      <c r="B120" s="9"/>
      <c r="C120" t="s">
        <v>17</v>
      </c>
      <c r="D120" t="s">
        <v>27</v>
      </c>
      <c r="E120">
        <v>2024</v>
      </c>
      <c r="F120" s="84">
        <v>772049161.41000021</v>
      </c>
      <c r="G120" s="73"/>
      <c r="H120" s="84">
        <v>0</v>
      </c>
      <c r="I120" s="73"/>
      <c r="J120" s="84">
        <v>0</v>
      </c>
      <c r="K120" s="73"/>
      <c r="L120" s="84">
        <v>-13699.31</v>
      </c>
      <c r="M120" s="73"/>
      <c r="N120" s="84">
        <v>0</v>
      </c>
      <c r="O120"/>
      <c r="P120" s="47">
        <f t="shared" si="6"/>
        <v>772035462.10000026</v>
      </c>
      <c r="Q120" s="11"/>
    </row>
    <row r="121" spans="2:20">
      <c r="B121" s="9"/>
      <c r="C121" t="s">
        <v>18</v>
      </c>
      <c r="D121" t="s">
        <v>27</v>
      </c>
      <c r="E121">
        <v>2024</v>
      </c>
      <c r="F121" s="84">
        <v>775129468.24000013</v>
      </c>
      <c r="G121" s="73"/>
      <c r="H121" s="84">
        <v>0</v>
      </c>
      <c r="I121" s="73"/>
      <c r="J121" s="84">
        <v>0</v>
      </c>
      <c r="K121" s="73"/>
      <c r="L121" s="84">
        <v>-13724.45</v>
      </c>
      <c r="M121" s="73"/>
      <c r="N121" s="84">
        <v>0</v>
      </c>
      <c r="O121"/>
      <c r="P121" s="47">
        <f t="shared" si="6"/>
        <v>775115743.79000008</v>
      </c>
      <c r="Q121" s="11"/>
    </row>
    <row r="122" spans="2:20">
      <c r="B122" s="9"/>
      <c r="C122" t="s">
        <v>19</v>
      </c>
      <c r="D122" t="s">
        <v>27</v>
      </c>
      <c r="E122">
        <v>2024</v>
      </c>
      <c r="F122" s="84">
        <v>775734039.91999996</v>
      </c>
      <c r="G122" s="73"/>
      <c r="H122" s="84">
        <v>0</v>
      </c>
      <c r="I122" s="73"/>
      <c r="J122" s="84">
        <v>0</v>
      </c>
      <c r="K122" s="73"/>
      <c r="L122" s="84">
        <v>-13749.58</v>
      </c>
      <c r="M122" s="73"/>
      <c r="N122" s="84">
        <v>0</v>
      </c>
      <c r="O122"/>
      <c r="P122" s="47">
        <f t="shared" si="6"/>
        <v>775720290.33999991</v>
      </c>
      <c r="Q122" s="11"/>
    </row>
    <row r="123" spans="2:20">
      <c r="B123" s="9"/>
      <c r="C123" t="s">
        <v>20</v>
      </c>
      <c r="D123" t="s">
        <v>27</v>
      </c>
      <c r="E123">
        <v>2024</v>
      </c>
      <c r="F123" s="84">
        <v>778479125.06999981</v>
      </c>
      <c r="G123" s="73"/>
      <c r="H123" s="84">
        <v>0</v>
      </c>
      <c r="I123" s="73"/>
      <c r="J123" s="84">
        <v>0</v>
      </c>
      <c r="K123" s="73"/>
      <c r="L123" s="84">
        <v>-13774.720000000001</v>
      </c>
      <c r="M123" s="73"/>
      <c r="N123" s="84">
        <v>0</v>
      </c>
      <c r="O123"/>
      <c r="P123" s="47">
        <f t="shared" si="6"/>
        <v>778465350.34999979</v>
      </c>
      <c r="Q123" s="11"/>
    </row>
    <row r="124" spans="2:20">
      <c r="B124" s="9"/>
      <c r="C124" t="s">
        <v>21</v>
      </c>
      <c r="D124" t="s">
        <v>27</v>
      </c>
      <c r="E124">
        <v>2024</v>
      </c>
      <c r="F124" s="84">
        <v>780691622.70000041</v>
      </c>
      <c r="G124" s="73"/>
      <c r="H124" s="84">
        <v>0</v>
      </c>
      <c r="I124" s="73"/>
      <c r="J124" s="84">
        <v>0</v>
      </c>
      <c r="K124" s="73"/>
      <c r="L124" s="84">
        <v>-13799.85</v>
      </c>
      <c r="M124" s="73"/>
      <c r="N124" s="84">
        <v>0</v>
      </c>
      <c r="O124"/>
      <c r="P124" s="47">
        <f t="shared" si="6"/>
        <v>780677822.85000038</v>
      </c>
      <c r="Q124" s="11"/>
    </row>
    <row r="125" spans="2:20">
      <c r="B125" s="9"/>
      <c r="C125" t="s">
        <v>22</v>
      </c>
      <c r="D125" t="s">
        <v>27</v>
      </c>
      <c r="E125">
        <v>2024</v>
      </c>
      <c r="F125" s="84">
        <v>783230085.19999969</v>
      </c>
      <c r="G125" s="73"/>
      <c r="H125" s="84">
        <v>0</v>
      </c>
      <c r="I125" s="73"/>
      <c r="J125" s="84">
        <v>0</v>
      </c>
      <c r="K125" s="73"/>
      <c r="L125" s="84">
        <v>-13824.99</v>
      </c>
      <c r="M125" s="73"/>
      <c r="N125" s="84">
        <v>0</v>
      </c>
      <c r="O125"/>
      <c r="P125" s="47">
        <f t="shared" si="6"/>
        <v>783216260.20999968</v>
      </c>
      <c r="Q125" s="11"/>
    </row>
    <row r="126" spans="2:20">
      <c r="B126" s="9"/>
      <c r="C126" t="s">
        <v>23</v>
      </c>
      <c r="D126" t="s">
        <v>27</v>
      </c>
      <c r="E126">
        <v>2024</v>
      </c>
      <c r="F126" s="84">
        <v>786841041.13999987</v>
      </c>
      <c r="G126" s="73"/>
      <c r="H126" s="84">
        <v>0</v>
      </c>
      <c r="I126" s="73"/>
      <c r="J126" s="84">
        <v>0</v>
      </c>
      <c r="K126" s="73"/>
      <c r="L126" s="84">
        <v>-13850.12</v>
      </c>
      <c r="M126" s="73"/>
      <c r="N126" s="84">
        <v>0</v>
      </c>
      <c r="O126"/>
      <c r="P126" s="47">
        <f t="shared" si="6"/>
        <v>786827191.01999986</v>
      </c>
      <c r="Q126" s="11"/>
    </row>
    <row r="127" spans="2:20">
      <c r="B127" s="9"/>
      <c r="C127" t="s">
        <v>24</v>
      </c>
      <c r="D127" t="s">
        <v>27</v>
      </c>
      <c r="E127">
        <v>2024</v>
      </c>
      <c r="F127" s="84">
        <v>786546394.32999992</v>
      </c>
      <c r="G127" s="73"/>
      <c r="H127" s="84">
        <v>0</v>
      </c>
      <c r="I127" s="73"/>
      <c r="J127" s="84">
        <v>0</v>
      </c>
      <c r="K127" s="73"/>
      <c r="L127" s="84">
        <v>-13875.25</v>
      </c>
      <c r="M127" s="73"/>
      <c r="N127" s="84">
        <v>0</v>
      </c>
      <c r="O127"/>
      <c r="P127" s="47">
        <f t="shared" si="6"/>
        <v>786532519.07999992</v>
      </c>
      <c r="Q127" s="11"/>
    </row>
    <row r="128" spans="2:20">
      <c r="B128" s="9"/>
      <c r="C128" t="s">
        <v>13</v>
      </c>
      <c r="D128" t="s">
        <v>75</v>
      </c>
      <c r="E128">
        <v>2024</v>
      </c>
      <c r="F128" s="494">
        <f>+'FERC Form 1 Inputs'!L25</f>
        <v>785977019</v>
      </c>
      <c r="G128" s="26"/>
      <c r="H128" s="277">
        <v>0</v>
      </c>
      <c r="I128" s="26"/>
      <c r="J128" s="277">
        <v>0</v>
      </c>
      <c r="K128" s="73"/>
      <c r="L128" s="277">
        <v>-13900.39</v>
      </c>
      <c r="M128" s="26"/>
      <c r="N128" s="277">
        <v>0</v>
      </c>
      <c r="O128"/>
      <c r="P128" s="47">
        <f t="shared" si="6"/>
        <v>785963118.61000001</v>
      </c>
      <c r="Q128" s="11"/>
    </row>
    <row r="129" spans="2:17">
      <c r="B129" s="9"/>
      <c r="C129" s="1" t="s">
        <v>79</v>
      </c>
      <c r="F129" s="10">
        <f>AVERAGE(F116:F128)</f>
        <v>775274995.6284616</v>
      </c>
      <c r="G129" s="73"/>
      <c r="H129" s="10">
        <f>AVERAGE(H116:H128)</f>
        <v>0</v>
      </c>
      <c r="I129" s="73"/>
      <c r="J129" s="10">
        <f>AVERAGE(J116:J128)</f>
        <v>0</v>
      </c>
      <c r="K129" s="73"/>
      <c r="L129" s="10">
        <f>AVERAGE(L116:L128)</f>
        <v>-13749.581538461538</v>
      </c>
      <c r="M129" s="73"/>
      <c r="N129" s="10">
        <f>AVERAGE(N116:N128)</f>
        <v>0</v>
      </c>
      <c r="O129"/>
      <c r="P129" s="335">
        <f>AVERAGE(P116:P128)</f>
        <v>775261246.04692316</v>
      </c>
      <c r="Q129" s="11"/>
    </row>
    <row r="130" spans="2:17">
      <c r="B130" s="9"/>
      <c r="F130" s="10"/>
      <c r="G130" s="73"/>
      <c r="H130" s="73"/>
      <c r="I130" s="73"/>
      <c r="J130" s="73"/>
      <c r="K130" s="73"/>
      <c r="L130" s="73"/>
      <c r="M130" s="73"/>
      <c r="N130" s="73"/>
      <c r="O130" s="73"/>
      <c r="Q130" s="11"/>
    </row>
    <row r="131" spans="2:17">
      <c r="B131" s="9"/>
      <c r="C131" s="1" t="s">
        <v>80</v>
      </c>
      <c r="F131" s="10"/>
      <c r="G131" s="73"/>
      <c r="H131" s="73"/>
      <c r="I131" s="73"/>
      <c r="J131" s="73"/>
      <c r="K131" s="73"/>
      <c r="L131" s="73"/>
      <c r="M131" s="73"/>
      <c r="N131" s="73"/>
      <c r="O131" s="73"/>
      <c r="Q131" s="11"/>
    </row>
    <row r="132" spans="2:17">
      <c r="B132" s="9"/>
      <c r="C132" s="12" t="s">
        <v>10</v>
      </c>
      <c r="D132" s="12" t="s">
        <v>11</v>
      </c>
      <c r="E132" s="12"/>
      <c r="F132" s="13" t="s">
        <v>12</v>
      </c>
      <c r="G132" s="133"/>
      <c r="H132" s="237" t="str">
        <f>+H115</f>
        <v>Settlement Adjustment</v>
      </c>
      <c r="I132" s="133"/>
      <c r="J132" s="237" t="str">
        <f>+J115</f>
        <v>Remove Right of Use Asset</v>
      </c>
      <c r="K132" s="237"/>
      <c r="L132" s="457" t="s">
        <v>1572</v>
      </c>
      <c r="M132" s="133"/>
      <c r="N132" s="237" t="str">
        <f>+N115</f>
        <v>Direct Assignment</v>
      </c>
      <c r="O132" s="12"/>
      <c r="P132" s="12" t="s">
        <v>543</v>
      </c>
      <c r="Q132" s="11"/>
    </row>
    <row r="133" spans="2:17">
      <c r="B133" s="9"/>
      <c r="C133" t="s">
        <v>13</v>
      </c>
      <c r="D133" t="s">
        <v>88</v>
      </c>
      <c r="E133">
        <v>2023</v>
      </c>
      <c r="F133" s="73">
        <f>'FERC Form 1 Inputs'!I18</f>
        <v>44698449</v>
      </c>
      <c r="G133" s="73"/>
      <c r="H133" s="84">
        <v>0</v>
      </c>
      <c r="I133" s="73"/>
      <c r="J133" s="84">
        <v>0</v>
      </c>
      <c r="K133" s="73"/>
      <c r="L133" s="84">
        <v>0</v>
      </c>
      <c r="M133" s="73"/>
      <c r="N133" s="84">
        <v>0</v>
      </c>
      <c r="O133"/>
      <c r="P133" s="47">
        <f t="shared" ref="P133:P145" si="7">+F133+H133+J133+L133-N133</f>
        <v>44698449</v>
      </c>
      <c r="Q133" s="11"/>
    </row>
    <row r="134" spans="2:17">
      <c r="B134" s="9"/>
      <c r="C134" t="s">
        <v>14</v>
      </c>
      <c r="D134" t="s">
        <v>27</v>
      </c>
      <c r="E134">
        <v>2024</v>
      </c>
      <c r="F134" s="84">
        <v>45496692.470000006</v>
      </c>
      <c r="G134" s="73"/>
      <c r="H134" s="84">
        <v>0</v>
      </c>
      <c r="I134" s="73"/>
      <c r="J134" s="84">
        <v>0</v>
      </c>
      <c r="K134" s="73"/>
      <c r="L134" s="84">
        <v>0</v>
      </c>
      <c r="M134" s="73"/>
      <c r="N134" s="84">
        <v>0</v>
      </c>
      <c r="O134"/>
      <c r="P134" s="47">
        <f t="shared" si="7"/>
        <v>45496692.470000006</v>
      </c>
      <c r="Q134" s="11"/>
    </row>
    <row r="135" spans="2:17">
      <c r="B135" s="9"/>
      <c r="C135" t="s">
        <v>15</v>
      </c>
      <c r="D135" t="s">
        <v>27</v>
      </c>
      <c r="E135">
        <v>2024</v>
      </c>
      <c r="F135" s="84">
        <v>46342147.569999978</v>
      </c>
      <c r="G135" s="73"/>
      <c r="H135" s="84">
        <v>0</v>
      </c>
      <c r="I135" s="73"/>
      <c r="J135" s="84">
        <v>0</v>
      </c>
      <c r="K135" s="73"/>
      <c r="L135" s="84">
        <v>0</v>
      </c>
      <c r="M135" s="73"/>
      <c r="N135" s="84">
        <v>0</v>
      </c>
      <c r="O135"/>
      <c r="P135" s="47">
        <f t="shared" si="7"/>
        <v>46342147.569999978</v>
      </c>
      <c r="Q135" s="11"/>
    </row>
    <row r="136" spans="2:17">
      <c r="B136" s="9"/>
      <c r="C136" t="s">
        <v>16</v>
      </c>
      <c r="D136" t="s">
        <v>27</v>
      </c>
      <c r="E136">
        <v>2024</v>
      </c>
      <c r="F136" s="84">
        <v>47206965.859999992</v>
      </c>
      <c r="G136" s="73"/>
      <c r="H136" s="84">
        <v>0</v>
      </c>
      <c r="I136" s="73"/>
      <c r="J136" s="84">
        <v>0</v>
      </c>
      <c r="K136" s="73"/>
      <c r="L136" s="84">
        <v>0</v>
      </c>
      <c r="M136" s="73"/>
      <c r="N136" s="84">
        <v>0</v>
      </c>
      <c r="O136"/>
      <c r="P136" s="47">
        <f t="shared" si="7"/>
        <v>47206965.859999992</v>
      </c>
      <c r="Q136" s="11"/>
    </row>
    <row r="137" spans="2:17">
      <c r="B137" s="9"/>
      <c r="C137" t="s">
        <v>17</v>
      </c>
      <c r="D137" t="s">
        <v>27</v>
      </c>
      <c r="E137">
        <v>2024</v>
      </c>
      <c r="F137" s="84">
        <v>48069890.969999991</v>
      </c>
      <c r="G137" s="73"/>
      <c r="H137" s="84">
        <v>0</v>
      </c>
      <c r="I137" s="73"/>
      <c r="J137" s="84">
        <v>0</v>
      </c>
      <c r="K137" s="73"/>
      <c r="L137" s="84">
        <v>0</v>
      </c>
      <c r="M137" s="73"/>
      <c r="N137" s="84">
        <v>0</v>
      </c>
      <c r="O137"/>
      <c r="P137" s="47">
        <f t="shared" si="7"/>
        <v>48069890.969999991</v>
      </c>
      <c r="Q137" s="11"/>
    </row>
    <row r="138" spans="2:17">
      <c r="B138" s="9"/>
      <c r="C138" t="s">
        <v>18</v>
      </c>
      <c r="D138" t="s">
        <v>27</v>
      </c>
      <c r="E138">
        <v>2024</v>
      </c>
      <c r="F138" s="84">
        <v>48940892.339999996</v>
      </c>
      <c r="G138" s="73"/>
      <c r="H138" s="84">
        <v>0</v>
      </c>
      <c r="I138" s="73"/>
      <c r="J138" s="84">
        <v>0</v>
      </c>
      <c r="K138" s="73"/>
      <c r="L138" s="84">
        <v>0</v>
      </c>
      <c r="M138" s="73"/>
      <c r="N138" s="84">
        <v>0</v>
      </c>
      <c r="O138"/>
      <c r="P138" s="47">
        <f t="shared" si="7"/>
        <v>48940892.339999996</v>
      </c>
      <c r="Q138" s="11"/>
    </row>
    <row r="139" spans="2:17">
      <c r="B139" s="9"/>
      <c r="C139" t="s">
        <v>19</v>
      </c>
      <c r="D139" t="s">
        <v>27</v>
      </c>
      <c r="E139">
        <v>2024</v>
      </c>
      <c r="F139" s="84">
        <v>49829882.859999999</v>
      </c>
      <c r="G139" s="73"/>
      <c r="H139" s="84">
        <v>0</v>
      </c>
      <c r="I139" s="73"/>
      <c r="J139" s="84">
        <v>0</v>
      </c>
      <c r="K139" s="73"/>
      <c r="L139" s="84">
        <v>0</v>
      </c>
      <c r="M139" s="73"/>
      <c r="N139" s="84">
        <v>0</v>
      </c>
      <c r="O139"/>
      <c r="P139" s="47">
        <f t="shared" si="7"/>
        <v>49829882.859999999</v>
      </c>
      <c r="Q139" s="11"/>
    </row>
    <row r="140" spans="2:17">
      <c r="B140" s="9"/>
      <c r="C140" t="s">
        <v>20</v>
      </c>
      <c r="D140" t="s">
        <v>27</v>
      </c>
      <c r="E140">
        <v>2024</v>
      </c>
      <c r="F140" s="84">
        <v>50755677.280000001</v>
      </c>
      <c r="G140" s="73"/>
      <c r="H140" s="84">
        <v>0</v>
      </c>
      <c r="I140" s="73"/>
      <c r="J140" s="84">
        <v>0</v>
      </c>
      <c r="K140" s="73"/>
      <c r="L140" s="84">
        <v>0</v>
      </c>
      <c r="M140" s="73"/>
      <c r="N140" s="84">
        <v>0</v>
      </c>
      <c r="O140"/>
      <c r="P140" s="47">
        <f t="shared" si="7"/>
        <v>50755677.280000001</v>
      </c>
      <c r="Q140" s="11"/>
    </row>
    <row r="141" spans="2:17">
      <c r="B141" s="9"/>
      <c r="C141" t="s">
        <v>21</v>
      </c>
      <c r="D141" t="s">
        <v>27</v>
      </c>
      <c r="E141">
        <v>2024</v>
      </c>
      <c r="F141" s="84">
        <v>51681315.219999991</v>
      </c>
      <c r="G141" s="73"/>
      <c r="H141" s="84">
        <v>0</v>
      </c>
      <c r="I141" s="73"/>
      <c r="J141" s="84">
        <v>0</v>
      </c>
      <c r="K141" s="73"/>
      <c r="L141" s="84">
        <v>0</v>
      </c>
      <c r="M141" s="73"/>
      <c r="N141" s="84">
        <v>0</v>
      </c>
      <c r="O141"/>
      <c r="P141" s="47">
        <f t="shared" si="7"/>
        <v>51681315.219999991</v>
      </c>
      <c r="Q141" s="11"/>
    </row>
    <row r="142" spans="2:17">
      <c r="B142" s="9"/>
      <c r="C142" t="s">
        <v>22</v>
      </c>
      <c r="D142" t="s">
        <v>27</v>
      </c>
      <c r="E142">
        <v>2024</v>
      </c>
      <c r="F142" s="84">
        <v>53093160.259999998</v>
      </c>
      <c r="G142" s="73"/>
      <c r="H142" s="84">
        <v>0</v>
      </c>
      <c r="I142" s="73"/>
      <c r="J142" s="84">
        <v>0</v>
      </c>
      <c r="K142" s="73"/>
      <c r="L142" s="84">
        <v>0</v>
      </c>
      <c r="M142" s="73"/>
      <c r="N142" s="84">
        <v>0</v>
      </c>
      <c r="O142"/>
      <c r="P142" s="47">
        <f t="shared" si="7"/>
        <v>53093160.259999998</v>
      </c>
      <c r="Q142" s="11"/>
    </row>
    <row r="143" spans="2:17">
      <c r="B143" s="9"/>
      <c r="C143" t="s">
        <v>23</v>
      </c>
      <c r="D143" t="s">
        <v>27</v>
      </c>
      <c r="E143">
        <v>2024</v>
      </c>
      <c r="F143" s="84">
        <v>53234701.309999995</v>
      </c>
      <c r="G143" s="73"/>
      <c r="H143" s="84">
        <v>0</v>
      </c>
      <c r="I143" s="73"/>
      <c r="J143" s="84">
        <v>0</v>
      </c>
      <c r="K143" s="73"/>
      <c r="L143" s="84">
        <v>0</v>
      </c>
      <c r="M143" s="73"/>
      <c r="N143" s="84">
        <v>0</v>
      </c>
      <c r="O143"/>
      <c r="P143" s="47">
        <f t="shared" si="7"/>
        <v>53234701.309999995</v>
      </c>
      <c r="Q143" s="11"/>
    </row>
    <row r="144" spans="2:17">
      <c r="B144" s="9"/>
      <c r="C144" t="s">
        <v>24</v>
      </c>
      <c r="D144" t="s">
        <v>27</v>
      </c>
      <c r="E144">
        <v>2024</v>
      </c>
      <c r="F144" s="84">
        <v>54215762.700000003</v>
      </c>
      <c r="G144" s="73"/>
      <c r="H144" s="84">
        <v>0</v>
      </c>
      <c r="I144" s="73"/>
      <c r="J144" s="84">
        <v>0</v>
      </c>
      <c r="K144" s="73"/>
      <c r="L144" s="84">
        <v>0</v>
      </c>
      <c r="M144" s="73"/>
      <c r="N144" s="84">
        <v>0</v>
      </c>
      <c r="O144"/>
      <c r="P144" s="47">
        <f t="shared" si="7"/>
        <v>54215762.700000003</v>
      </c>
      <c r="Q144" s="11"/>
    </row>
    <row r="145" spans="2:17">
      <c r="B145" s="9"/>
      <c r="C145" t="s">
        <v>13</v>
      </c>
      <c r="D145" t="s">
        <v>89</v>
      </c>
      <c r="E145">
        <v>2024</v>
      </c>
      <c r="F145" s="494">
        <f>+'FERC Form 1 Inputs'!L18</f>
        <v>30406398</v>
      </c>
      <c r="G145" s="26"/>
      <c r="H145" s="277">
        <v>0</v>
      </c>
      <c r="I145" s="26"/>
      <c r="J145" s="277">
        <v>0</v>
      </c>
      <c r="K145" s="73"/>
      <c r="L145" s="84">
        <v>0</v>
      </c>
      <c r="M145" s="26"/>
      <c r="N145" s="277">
        <v>0</v>
      </c>
      <c r="O145"/>
      <c r="P145" s="47">
        <f t="shared" si="7"/>
        <v>30406398</v>
      </c>
      <c r="Q145" s="11"/>
    </row>
    <row r="146" spans="2:17">
      <c r="B146" s="9"/>
      <c r="C146" s="1" t="s">
        <v>81</v>
      </c>
      <c r="F146" s="10">
        <f>AVERAGE(F133:F145)</f>
        <v>47997841.218461528</v>
      </c>
      <c r="G146" s="73"/>
      <c r="H146" s="10">
        <f>AVERAGE(H133:H145)</f>
        <v>0</v>
      </c>
      <c r="I146" s="73"/>
      <c r="J146" s="10">
        <f>AVERAGE(J133:J145)</f>
        <v>0</v>
      </c>
      <c r="K146" s="73"/>
      <c r="L146" s="10">
        <f>AVERAGE(L133:L145)</f>
        <v>0</v>
      </c>
      <c r="M146" s="73"/>
      <c r="N146" s="10">
        <f>AVERAGE(N133:N145)</f>
        <v>0</v>
      </c>
      <c r="O146"/>
      <c r="P146" s="335">
        <f>AVERAGE(P133:P145)</f>
        <v>47997841.218461528</v>
      </c>
      <c r="Q146" s="11"/>
    </row>
    <row r="147" spans="2:17">
      <c r="B147" s="9"/>
      <c r="F147" s="10"/>
      <c r="G147" s="73"/>
      <c r="H147" s="73"/>
      <c r="I147" s="73"/>
      <c r="J147" s="73"/>
      <c r="K147" s="73"/>
      <c r="L147" s="73"/>
      <c r="M147" s="73"/>
      <c r="N147" s="73"/>
      <c r="O147" s="73"/>
      <c r="Q147" s="11"/>
    </row>
    <row r="148" spans="2:17">
      <c r="B148" s="9"/>
      <c r="C148" s="1" t="s">
        <v>82</v>
      </c>
      <c r="F148" s="10"/>
      <c r="G148" s="73"/>
      <c r="H148" s="73"/>
      <c r="I148" s="73"/>
      <c r="J148" s="73"/>
      <c r="K148" s="73"/>
      <c r="L148" s="73"/>
      <c r="M148" s="73"/>
      <c r="N148" s="73"/>
      <c r="O148" s="73"/>
      <c r="Q148" s="11"/>
    </row>
    <row r="149" spans="2:17">
      <c r="B149" s="9"/>
      <c r="C149" s="12" t="s">
        <v>10</v>
      </c>
      <c r="D149" s="12" t="s">
        <v>11</v>
      </c>
      <c r="E149" s="12"/>
      <c r="F149" s="13" t="s">
        <v>12</v>
      </c>
      <c r="G149" s="133"/>
      <c r="H149" s="237" t="str">
        <f>+H132</f>
        <v>Settlement Adjustment</v>
      </c>
      <c r="I149" s="133"/>
      <c r="J149" s="237" t="str">
        <f>+J132</f>
        <v>Remove Right of Use Asset</v>
      </c>
      <c r="K149" s="237"/>
      <c r="L149" s="457" t="s">
        <v>1572</v>
      </c>
      <c r="M149" s="133"/>
      <c r="N149" s="237" t="str">
        <f>+N132</f>
        <v>Direct Assignment</v>
      </c>
      <c r="O149" s="12"/>
      <c r="P149" s="12" t="s">
        <v>543</v>
      </c>
      <c r="Q149" s="11"/>
    </row>
    <row r="150" spans="2:17">
      <c r="B150" s="9"/>
      <c r="C150" t="s">
        <v>13</v>
      </c>
      <c r="D150" t="s">
        <v>92</v>
      </c>
      <c r="E150">
        <v>2023</v>
      </c>
      <c r="F150" s="73">
        <f>'FERC Form 1 Inputs'!I26</f>
        <v>89685457</v>
      </c>
      <c r="G150" s="73"/>
      <c r="H150" s="84">
        <v>0</v>
      </c>
      <c r="I150" s="73"/>
      <c r="J150" s="84">
        <v>0</v>
      </c>
      <c r="K150" s="73"/>
      <c r="L150" s="84">
        <v>-17845</v>
      </c>
      <c r="M150" s="73"/>
      <c r="N150" s="84">
        <v>0</v>
      </c>
      <c r="O150"/>
      <c r="P150" s="47">
        <f t="shared" ref="P150:P162" si="8">+F150+H150+J150+L150-N150</f>
        <v>89667612</v>
      </c>
      <c r="Q150" s="11"/>
    </row>
    <row r="151" spans="2:17">
      <c r="B151" s="9"/>
      <c r="C151" t="s">
        <v>14</v>
      </c>
      <c r="D151" t="s">
        <v>27</v>
      </c>
      <c r="E151">
        <v>2024</v>
      </c>
      <c r="F151" s="84">
        <v>90571164.290000007</v>
      </c>
      <c r="G151" s="73"/>
      <c r="H151" s="84">
        <v>0</v>
      </c>
      <c r="I151" s="73"/>
      <c r="J151" s="84">
        <v>0</v>
      </c>
      <c r="K151" s="73"/>
      <c r="L151" s="84">
        <v>-17871.260000000002</v>
      </c>
      <c r="M151" s="73"/>
      <c r="N151" s="84">
        <v>0</v>
      </c>
      <c r="O151"/>
      <c r="P151" s="47">
        <f t="shared" si="8"/>
        <v>90553293.030000001</v>
      </c>
      <c r="Q151" s="11"/>
    </row>
    <row r="152" spans="2:17">
      <c r="B152" s="9"/>
      <c r="C152" t="s">
        <v>15</v>
      </c>
      <c r="D152" t="s">
        <v>27</v>
      </c>
      <c r="E152">
        <v>2024</v>
      </c>
      <c r="F152" s="84">
        <v>91453742.699999988</v>
      </c>
      <c r="G152" s="73"/>
      <c r="H152" s="84">
        <v>0</v>
      </c>
      <c r="I152" s="73"/>
      <c r="J152" s="84">
        <v>0</v>
      </c>
      <c r="K152" s="73"/>
      <c r="L152" s="84">
        <v>-17897.52</v>
      </c>
      <c r="M152" s="73"/>
      <c r="N152" s="84">
        <v>0</v>
      </c>
      <c r="O152"/>
      <c r="P152" s="47">
        <f t="shared" si="8"/>
        <v>91435845.179999992</v>
      </c>
      <c r="Q152" s="11"/>
    </row>
    <row r="153" spans="2:17">
      <c r="B153" s="9"/>
      <c r="C153" t="s">
        <v>16</v>
      </c>
      <c r="D153" t="s">
        <v>27</v>
      </c>
      <c r="E153">
        <v>2024</v>
      </c>
      <c r="F153" s="84">
        <v>92377237.00000003</v>
      </c>
      <c r="G153" s="73"/>
      <c r="H153" s="84">
        <v>0</v>
      </c>
      <c r="I153" s="73"/>
      <c r="J153" s="84">
        <v>0</v>
      </c>
      <c r="K153" s="73"/>
      <c r="L153" s="84">
        <v>-17923.760000000002</v>
      </c>
      <c r="M153" s="73"/>
      <c r="N153" s="84">
        <v>0</v>
      </c>
      <c r="O153"/>
      <c r="P153" s="47">
        <f t="shared" si="8"/>
        <v>92359313.240000024</v>
      </c>
      <c r="Q153" s="11"/>
    </row>
    <row r="154" spans="2:17">
      <c r="B154" s="9"/>
      <c r="C154" t="s">
        <v>17</v>
      </c>
      <c r="D154" t="s">
        <v>27</v>
      </c>
      <c r="E154">
        <v>2024</v>
      </c>
      <c r="F154" s="84">
        <v>93301066.800000027</v>
      </c>
      <c r="G154" s="73"/>
      <c r="H154" s="84">
        <v>0</v>
      </c>
      <c r="I154" s="73"/>
      <c r="J154" s="84">
        <v>0</v>
      </c>
      <c r="K154" s="73"/>
      <c r="L154" s="84">
        <v>-17950.03</v>
      </c>
      <c r="M154" s="73"/>
      <c r="N154" s="84">
        <v>0</v>
      </c>
      <c r="O154"/>
      <c r="P154" s="47">
        <f t="shared" si="8"/>
        <v>93283116.770000026</v>
      </c>
      <c r="Q154" s="11"/>
    </row>
    <row r="155" spans="2:17">
      <c r="B155" s="9"/>
      <c r="C155" t="s">
        <v>18</v>
      </c>
      <c r="D155" t="s">
        <v>27</v>
      </c>
      <c r="E155">
        <v>2024</v>
      </c>
      <c r="F155" s="84">
        <v>94152755.379999995</v>
      </c>
      <c r="G155" s="73"/>
      <c r="H155" s="84">
        <v>0</v>
      </c>
      <c r="I155" s="73"/>
      <c r="J155" s="84">
        <v>0</v>
      </c>
      <c r="K155" s="73"/>
      <c r="L155" s="84">
        <v>-17976.29</v>
      </c>
      <c r="M155" s="73"/>
      <c r="N155" s="84">
        <v>0</v>
      </c>
      <c r="O155"/>
      <c r="P155" s="47">
        <f t="shared" si="8"/>
        <v>94134779.089999989</v>
      </c>
      <c r="Q155" s="11"/>
    </row>
    <row r="156" spans="2:17">
      <c r="B156" s="9"/>
      <c r="C156" t="s">
        <v>19</v>
      </c>
      <c r="D156" t="s">
        <v>27</v>
      </c>
      <c r="E156">
        <v>2024</v>
      </c>
      <c r="F156" s="84">
        <v>93498581.079999998</v>
      </c>
      <c r="G156" s="73"/>
      <c r="H156" s="84">
        <v>0</v>
      </c>
      <c r="I156" s="73"/>
      <c r="J156" s="84">
        <v>0</v>
      </c>
      <c r="K156" s="73"/>
      <c r="L156" s="84">
        <v>-18002.55</v>
      </c>
      <c r="M156" s="73"/>
      <c r="N156" s="84">
        <v>0</v>
      </c>
      <c r="O156"/>
      <c r="P156" s="47">
        <f t="shared" si="8"/>
        <v>93480578.530000001</v>
      </c>
      <c r="Q156" s="11"/>
    </row>
    <row r="157" spans="2:17">
      <c r="B157" s="9"/>
      <c r="C157" t="s">
        <v>20</v>
      </c>
      <c r="D157" t="s">
        <v>27</v>
      </c>
      <c r="E157">
        <v>2024</v>
      </c>
      <c r="F157" s="84">
        <v>94430711.530000001</v>
      </c>
      <c r="G157" s="73"/>
      <c r="H157" s="84">
        <v>0</v>
      </c>
      <c r="I157" s="73"/>
      <c r="J157" s="84">
        <v>0</v>
      </c>
      <c r="K157" s="73"/>
      <c r="L157" s="84">
        <v>-18028.8</v>
      </c>
      <c r="M157" s="73"/>
      <c r="N157" s="84">
        <v>0</v>
      </c>
      <c r="O157"/>
      <c r="P157" s="47">
        <f t="shared" si="8"/>
        <v>94412682.730000004</v>
      </c>
      <c r="Q157" s="11"/>
    </row>
    <row r="158" spans="2:17">
      <c r="B158" s="9"/>
      <c r="C158" t="s">
        <v>21</v>
      </c>
      <c r="D158" t="s">
        <v>27</v>
      </c>
      <c r="E158">
        <v>2024</v>
      </c>
      <c r="F158" s="84">
        <v>95365959.940000013</v>
      </c>
      <c r="G158" s="73"/>
      <c r="H158" s="84">
        <v>0</v>
      </c>
      <c r="I158" s="73"/>
      <c r="J158" s="84">
        <v>0</v>
      </c>
      <c r="K158" s="73"/>
      <c r="L158" s="84">
        <v>-18055.050000000003</v>
      </c>
      <c r="M158" s="73"/>
      <c r="N158" s="84">
        <v>0</v>
      </c>
      <c r="O158"/>
      <c r="P158" s="47">
        <f t="shared" si="8"/>
        <v>95347904.890000015</v>
      </c>
      <c r="Q158" s="11"/>
    </row>
    <row r="159" spans="2:17">
      <c r="B159" s="9"/>
      <c r="C159" t="s">
        <v>22</v>
      </c>
      <c r="D159" t="s">
        <v>27</v>
      </c>
      <c r="E159">
        <v>2024</v>
      </c>
      <c r="F159" s="84">
        <v>96326897.409999996</v>
      </c>
      <c r="G159" s="73"/>
      <c r="H159" s="84">
        <v>0</v>
      </c>
      <c r="I159" s="73"/>
      <c r="J159" s="84">
        <v>0</v>
      </c>
      <c r="K159" s="73"/>
      <c r="L159" s="84">
        <v>-18081.300000000003</v>
      </c>
      <c r="M159" s="73"/>
      <c r="N159" s="84">
        <v>0</v>
      </c>
      <c r="O159"/>
      <c r="P159" s="47">
        <f t="shared" si="8"/>
        <v>96308816.109999999</v>
      </c>
      <c r="Q159" s="11"/>
    </row>
    <row r="160" spans="2:17">
      <c r="B160" s="9"/>
      <c r="C160" t="s">
        <v>23</v>
      </c>
      <c r="D160" t="s">
        <v>27</v>
      </c>
      <c r="E160">
        <v>2024</v>
      </c>
      <c r="F160" s="84">
        <v>97040807.120000005</v>
      </c>
      <c r="G160" s="73"/>
      <c r="H160" s="84">
        <v>0</v>
      </c>
      <c r="I160" s="73"/>
      <c r="J160" s="84">
        <v>0</v>
      </c>
      <c r="K160" s="73"/>
      <c r="L160" s="84">
        <v>-18107.559999999998</v>
      </c>
      <c r="M160" s="73"/>
      <c r="N160" s="84">
        <v>0</v>
      </c>
      <c r="O160"/>
      <c r="P160" s="47">
        <f t="shared" si="8"/>
        <v>97022699.560000002</v>
      </c>
      <c r="Q160" s="11"/>
    </row>
    <row r="161" spans="2:17">
      <c r="B161" s="9"/>
      <c r="C161" t="s">
        <v>24</v>
      </c>
      <c r="D161" t="s">
        <v>27</v>
      </c>
      <c r="E161">
        <v>2024</v>
      </c>
      <c r="F161" s="84">
        <v>97996542.560000017</v>
      </c>
      <c r="G161" s="73"/>
      <c r="H161" s="84">
        <v>0</v>
      </c>
      <c r="I161" s="73"/>
      <c r="J161" s="84">
        <v>0</v>
      </c>
      <c r="K161" s="73"/>
      <c r="L161" s="84">
        <v>-18133.810000000001</v>
      </c>
      <c r="M161" s="73"/>
      <c r="N161" s="84">
        <v>0</v>
      </c>
      <c r="O161"/>
      <c r="P161" s="47">
        <f t="shared" si="8"/>
        <v>97978408.750000015</v>
      </c>
      <c r="Q161" s="11"/>
    </row>
    <row r="162" spans="2:17">
      <c r="B162" s="9"/>
      <c r="C162" t="s">
        <v>13</v>
      </c>
      <c r="D162" t="s">
        <v>93</v>
      </c>
      <c r="E162">
        <v>2024</v>
      </c>
      <c r="F162" s="494">
        <f>+'FERC Form 1 Inputs'!L26</f>
        <v>97861882</v>
      </c>
      <c r="G162" s="26"/>
      <c r="H162" s="277">
        <v>0</v>
      </c>
      <c r="I162" s="26"/>
      <c r="J162" s="277">
        <v>0</v>
      </c>
      <c r="K162" s="73"/>
      <c r="L162" s="277">
        <v>-18160.079999999998</v>
      </c>
      <c r="M162" s="26"/>
      <c r="N162" s="277">
        <v>0</v>
      </c>
      <c r="O162"/>
      <c r="P162" s="47">
        <f t="shared" si="8"/>
        <v>97843721.920000002</v>
      </c>
      <c r="Q162" s="11"/>
    </row>
    <row r="163" spans="2:17">
      <c r="B163" s="9"/>
      <c r="C163" s="1" t="s">
        <v>83</v>
      </c>
      <c r="F163" s="10">
        <f>AVERAGE(F150:F162)</f>
        <v>94158677.293076932</v>
      </c>
      <c r="G163" s="73"/>
      <c r="H163" s="10">
        <f>AVERAGE(H150:H162)</f>
        <v>0</v>
      </c>
      <c r="I163" s="73"/>
      <c r="J163" s="10">
        <f>AVERAGE(J150:J162)</f>
        <v>0</v>
      </c>
      <c r="K163" s="73"/>
      <c r="L163" s="10">
        <f>AVERAGE(L150:L162)</f>
        <v>-18002.539230769231</v>
      </c>
      <c r="M163" s="73"/>
      <c r="N163" s="10">
        <f>AVERAGE(N150:N162)</f>
        <v>0</v>
      </c>
      <c r="O163"/>
      <c r="P163" s="335">
        <f>AVERAGE(P150:P162)</f>
        <v>94140674.753846169</v>
      </c>
      <c r="Q163" s="11"/>
    </row>
    <row r="164" spans="2:17">
      <c r="B164" s="9"/>
      <c r="F164" s="10"/>
      <c r="G164" s="73"/>
      <c r="H164" s="73"/>
      <c r="I164" s="73"/>
      <c r="J164" s="73"/>
      <c r="K164" s="73"/>
      <c r="L164" s="73"/>
      <c r="M164" s="73"/>
      <c r="N164" s="73"/>
      <c r="O164" s="73"/>
      <c r="Q164" s="11"/>
    </row>
    <row r="165" spans="2:17">
      <c r="B165" s="9"/>
      <c r="C165" s="1" t="s">
        <v>84</v>
      </c>
      <c r="F165" s="10"/>
      <c r="G165" s="73"/>
      <c r="H165" s="73"/>
      <c r="I165" s="73"/>
      <c r="J165" s="73"/>
      <c r="K165" s="73"/>
      <c r="L165" s="73"/>
      <c r="M165" s="73"/>
      <c r="N165" s="73"/>
      <c r="O165" s="73"/>
      <c r="Q165" s="11"/>
    </row>
    <row r="166" spans="2:17">
      <c r="B166" s="9"/>
      <c r="C166" s="12" t="s">
        <v>10</v>
      </c>
      <c r="D166" s="12" t="s">
        <v>11</v>
      </c>
      <c r="E166" s="12"/>
      <c r="F166" s="13" t="s">
        <v>12</v>
      </c>
      <c r="G166" s="133"/>
      <c r="H166" s="237" t="str">
        <f>+H149</f>
        <v>Settlement Adjustment</v>
      </c>
      <c r="I166" s="133"/>
      <c r="J166" s="237" t="str">
        <f>+J149</f>
        <v>Remove Right of Use Asset</v>
      </c>
      <c r="K166" s="237"/>
      <c r="L166" s="457" t="s">
        <v>1572</v>
      </c>
      <c r="M166" s="133"/>
      <c r="N166" s="237" t="str">
        <f>+N149</f>
        <v>Direct Assignment</v>
      </c>
      <c r="O166" s="12"/>
      <c r="P166" s="12" t="s">
        <v>543</v>
      </c>
      <c r="Q166" s="11"/>
    </row>
    <row r="167" spans="2:17">
      <c r="B167" s="9"/>
      <c r="C167" t="s">
        <v>13</v>
      </c>
      <c r="D167" t="s">
        <v>90</v>
      </c>
      <c r="E167">
        <v>2023</v>
      </c>
      <c r="F167" s="73">
        <f>'FERC Form 1 Inputs'!I27</f>
        <v>824616003</v>
      </c>
      <c r="G167" s="73"/>
      <c r="H167" s="84">
        <v>0</v>
      </c>
      <c r="I167" s="73"/>
      <c r="J167" s="84">
        <v>0</v>
      </c>
      <c r="K167" s="73"/>
      <c r="L167" s="84">
        <v>-6635937.1400000006</v>
      </c>
      <c r="M167" s="73"/>
      <c r="N167" s="84">
        <f>+'Schedule 13 Direct Assignment'!F31+'Schedule 13 Direct Assignment'!G31</f>
        <v>-7065271.8383620009</v>
      </c>
      <c r="O167"/>
      <c r="P167" s="47">
        <f>+F167+H167+J167+L167-N167</f>
        <v>825045337.69836199</v>
      </c>
      <c r="Q167" s="11"/>
    </row>
    <row r="168" spans="2:17">
      <c r="B168" s="9"/>
      <c r="C168" t="s">
        <v>14</v>
      </c>
      <c r="D168" t="s">
        <v>27</v>
      </c>
      <c r="E168">
        <v>2024</v>
      </c>
      <c r="F168" s="84">
        <v>826557304.74000001</v>
      </c>
      <c r="G168" s="73"/>
      <c r="H168" s="84">
        <v>0</v>
      </c>
      <c r="I168" s="73"/>
      <c r="J168" s="84">
        <v>0</v>
      </c>
      <c r="K168" s="73"/>
      <c r="L168" s="84">
        <v>-6689132.9800000004</v>
      </c>
      <c r="M168" s="73"/>
      <c r="N168" s="84">
        <f>+'Schedule 13 Direct Assignment'!F32+'Schedule 13 Direct Assignment'!G32</f>
        <v>-7103422.5060665831</v>
      </c>
      <c r="O168"/>
      <c r="P168" s="47">
        <f>+F168+H168+J168+L168-N168</f>
        <v>826971594.26606655</v>
      </c>
      <c r="Q168" s="11"/>
    </row>
    <row r="169" spans="2:17">
      <c r="B169" s="9"/>
      <c r="C169" t="s">
        <v>15</v>
      </c>
      <c r="D169" t="s">
        <v>27</v>
      </c>
      <c r="E169">
        <v>2024</v>
      </c>
      <c r="F169" s="84">
        <v>830953851.18000007</v>
      </c>
      <c r="G169" s="73"/>
      <c r="H169" s="84">
        <v>0</v>
      </c>
      <c r="I169" s="73"/>
      <c r="J169" s="84">
        <v>0</v>
      </c>
      <c r="K169" s="73"/>
      <c r="L169" s="84">
        <v>-6742177.4700000016</v>
      </c>
      <c r="M169" s="73"/>
      <c r="N169" s="84">
        <f>+'Schedule 13 Direct Assignment'!F33+'Schedule 13 Direct Assignment'!G33</f>
        <v>-7141576.8237711666</v>
      </c>
      <c r="O169"/>
      <c r="P169" s="47">
        <f t="shared" ref="P169:P179" si="9">+F169+H169+J169+L169-N169</f>
        <v>831353250.53377116</v>
      </c>
      <c r="Q169" s="11"/>
    </row>
    <row r="170" spans="2:17">
      <c r="B170" s="9"/>
      <c r="C170" t="s">
        <v>16</v>
      </c>
      <c r="D170" t="s">
        <v>27</v>
      </c>
      <c r="E170">
        <v>2024</v>
      </c>
      <c r="F170" s="84">
        <v>835083881.73000014</v>
      </c>
      <c r="G170" s="73"/>
      <c r="H170" s="84">
        <v>0</v>
      </c>
      <c r="I170" s="73"/>
      <c r="J170" s="84">
        <v>0</v>
      </c>
      <c r="K170" s="73"/>
      <c r="L170" s="84">
        <v>-6795221.9800000004</v>
      </c>
      <c r="M170" s="73"/>
      <c r="N170" s="84">
        <f>+'Schedule 13 Direct Assignment'!F34+'Schedule 13 Direct Assignment'!G34</f>
        <v>-7179471.1114757499</v>
      </c>
      <c r="O170"/>
      <c r="P170" s="47">
        <f t="shared" si="9"/>
        <v>835468130.86147583</v>
      </c>
      <c r="Q170" s="11"/>
    </row>
    <row r="171" spans="2:17">
      <c r="B171" s="9"/>
      <c r="C171" t="s">
        <v>17</v>
      </c>
      <c r="D171" t="s">
        <v>27</v>
      </c>
      <c r="E171">
        <v>2024</v>
      </c>
      <c r="F171" s="84">
        <v>838869393.25</v>
      </c>
      <c r="G171" s="73"/>
      <c r="H171" s="84">
        <v>0</v>
      </c>
      <c r="I171" s="73"/>
      <c r="J171" s="84">
        <v>0</v>
      </c>
      <c r="K171" s="73"/>
      <c r="L171" s="84">
        <v>-6848266.4900000002</v>
      </c>
      <c r="M171" s="73"/>
      <c r="N171" s="84">
        <f>+'Schedule 13 Direct Assignment'!F35+'Schedule 13 Direct Assignment'!G35</f>
        <v>-7217006.2800000003</v>
      </c>
      <c r="O171"/>
      <c r="P171" s="47">
        <f t="shared" si="9"/>
        <v>839238133.03999996</v>
      </c>
      <c r="Q171" s="11"/>
    </row>
    <row r="172" spans="2:17">
      <c r="B172" s="9"/>
      <c r="C172" t="s">
        <v>18</v>
      </c>
      <c r="D172" t="s">
        <v>27</v>
      </c>
      <c r="E172">
        <v>2024</v>
      </c>
      <c r="F172" s="84">
        <v>841948803.72000015</v>
      </c>
      <c r="G172" s="73"/>
      <c r="H172" s="84">
        <v>0</v>
      </c>
      <c r="I172" s="73"/>
      <c r="J172" s="84">
        <v>0</v>
      </c>
      <c r="K172" s="73"/>
      <c r="L172" s="84">
        <v>-6901310.9100000001</v>
      </c>
      <c r="M172" s="73"/>
      <c r="N172" s="84">
        <f>+'Schedule 13 Direct Assignment'!F36+'Schedule 13 Direct Assignment'!G36</f>
        <v>-7254575.3849999998</v>
      </c>
      <c r="O172"/>
      <c r="P172" s="47">
        <f t="shared" si="9"/>
        <v>842302068.19500017</v>
      </c>
      <c r="Q172" s="11"/>
    </row>
    <row r="173" spans="2:17">
      <c r="B173" s="9"/>
      <c r="C173" t="s">
        <v>19</v>
      </c>
      <c r="D173" t="s">
        <v>27</v>
      </c>
      <c r="E173">
        <v>2024</v>
      </c>
      <c r="F173" s="84">
        <v>846224054.9000001</v>
      </c>
      <c r="G173" s="73"/>
      <c r="H173" s="84">
        <v>0</v>
      </c>
      <c r="I173" s="73"/>
      <c r="J173" s="84">
        <v>0</v>
      </c>
      <c r="K173" s="73"/>
      <c r="L173" s="84">
        <v>-6954355.4500000002</v>
      </c>
      <c r="M173" s="73"/>
      <c r="N173" s="84">
        <f>+'Schedule 13 Direct Assignment'!F37+'Schedule 13 Direct Assignment'!G37</f>
        <v>-7291472.0099999998</v>
      </c>
      <c r="O173"/>
      <c r="P173" s="47">
        <f t="shared" si="9"/>
        <v>846561171.46000004</v>
      </c>
      <c r="Q173" s="11"/>
    </row>
    <row r="174" spans="2:17">
      <c r="B174" s="9"/>
      <c r="C174" t="s">
        <v>20</v>
      </c>
      <c r="D174" t="s">
        <v>27</v>
      </c>
      <c r="E174">
        <v>2024</v>
      </c>
      <c r="F174" s="84">
        <v>848757505.32000017</v>
      </c>
      <c r="G174" s="73"/>
      <c r="H174" s="84">
        <v>0</v>
      </c>
      <c r="I174" s="73"/>
      <c r="J174" s="84">
        <v>0</v>
      </c>
      <c r="K174" s="73"/>
      <c r="L174" s="84">
        <v>-7007399.879999999</v>
      </c>
      <c r="M174" s="73"/>
      <c r="N174" s="84">
        <f>+'Schedule 13 Direct Assignment'!F38+'Schedule 13 Direct Assignment'!G38</f>
        <v>-7328631.1550000003</v>
      </c>
      <c r="O174"/>
      <c r="P174" s="47">
        <f t="shared" si="9"/>
        <v>849078736.59500015</v>
      </c>
      <c r="Q174" s="11"/>
    </row>
    <row r="175" spans="2:17">
      <c r="B175" s="9"/>
      <c r="C175" t="s">
        <v>21</v>
      </c>
      <c r="D175" t="s">
        <v>27</v>
      </c>
      <c r="E175">
        <v>2024</v>
      </c>
      <c r="F175" s="84">
        <v>853471629.1400001</v>
      </c>
      <c r="G175" s="73"/>
      <c r="H175" s="84">
        <v>0</v>
      </c>
      <c r="I175" s="73"/>
      <c r="J175" s="84">
        <v>0</v>
      </c>
      <c r="K175" s="73"/>
      <c r="L175" s="84">
        <v>-7060444.3399999999</v>
      </c>
      <c r="M175" s="73"/>
      <c r="N175" s="84">
        <f>+'Schedule 13 Direct Assignment'!F39+'Schedule 13 Direct Assignment'!G39</f>
        <v>-7366905.6300000008</v>
      </c>
      <c r="O175"/>
      <c r="P175" s="47">
        <f t="shared" si="9"/>
        <v>853778090.43000007</v>
      </c>
      <c r="Q175" s="11"/>
    </row>
    <row r="176" spans="2:17">
      <c r="B176" s="9"/>
      <c r="C176" t="s">
        <v>22</v>
      </c>
      <c r="D176" t="s">
        <v>27</v>
      </c>
      <c r="E176">
        <v>2024</v>
      </c>
      <c r="F176" s="84">
        <v>855779345.67000008</v>
      </c>
      <c r="G176" s="73"/>
      <c r="H176" s="84">
        <v>0</v>
      </c>
      <c r="I176" s="73"/>
      <c r="J176" s="84">
        <v>0</v>
      </c>
      <c r="K176" s="73"/>
      <c r="L176" s="84">
        <v>-7113488.8200000003</v>
      </c>
      <c r="M176" s="73"/>
      <c r="N176" s="84">
        <f>+'Schedule 13 Direct Assignment'!F40+'Schedule 13 Direct Assignment'!G40</f>
        <v>-7405411.8049999997</v>
      </c>
      <c r="O176"/>
      <c r="P176" s="47">
        <f t="shared" si="9"/>
        <v>856071268.65499997</v>
      </c>
      <c r="Q176" s="11"/>
    </row>
    <row r="177" spans="2:17">
      <c r="B177" s="9"/>
      <c r="C177" t="s">
        <v>23</v>
      </c>
      <c r="D177" t="s">
        <v>27</v>
      </c>
      <c r="E177">
        <v>2024</v>
      </c>
      <c r="F177" s="84">
        <v>858773763.38999999</v>
      </c>
      <c r="G177" s="73"/>
      <c r="H177" s="84">
        <v>0</v>
      </c>
      <c r="I177" s="73"/>
      <c r="J177" s="84">
        <v>0</v>
      </c>
      <c r="K177" s="73"/>
      <c r="L177" s="84">
        <v>-7166533.1900000004</v>
      </c>
      <c r="M177" s="73"/>
      <c r="N177" s="84">
        <f>+'Schedule 13 Direct Assignment'!F41+'Schedule 13 Direct Assignment'!G41</f>
        <v>-7441218.4299999997</v>
      </c>
      <c r="O177"/>
      <c r="P177" s="47">
        <f t="shared" si="9"/>
        <v>859048448.62999988</v>
      </c>
      <c r="Q177" s="11"/>
    </row>
    <row r="178" spans="2:17">
      <c r="B178" s="9"/>
      <c r="C178" t="s">
        <v>24</v>
      </c>
      <c r="D178" t="s">
        <v>27</v>
      </c>
      <c r="E178">
        <v>2024</v>
      </c>
      <c r="F178" s="84">
        <v>861401075.58000004</v>
      </c>
      <c r="G178" s="73"/>
      <c r="H178" s="84">
        <v>0</v>
      </c>
      <c r="I178" s="73"/>
      <c r="J178" s="84">
        <v>0</v>
      </c>
      <c r="K178" s="73"/>
      <c r="L178" s="84">
        <v>-7219577.7300000004</v>
      </c>
      <c r="M178" s="73"/>
      <c r="N178" s="84">
        <f>+'Schedule 13 Direct Assignment'!F42+'Schedule 13 Direct Assignment'!G42</f>
        <v>-7459328.1449999996</v>
      </c>
      <c r="O178"/>
      <c r="P178" s="47">
        <f t="shared" si="9"/>
        <v>861640825.995</v>
      </c>
      <c r="Q178" s="11"/>
    </row>
    <row r="179" spans="2:17">
      <c r="B179" s="9"/>
      <c r="C179" t="s">
        <v>13</v>
      </c>
      <c r="D179" t="s">
        <v>91</v>
      </c>
      <c r="E179">
        <v>2024</v>
      </c>
      <c r="F179" s="494">
        <f>+'FERC Form 1 Inputs'!L27</f>
        <v>856997644</v>
      </c>
      <c r="G179" s="26"/>
      <c r="H179" s="277">
        <v>0</v>
      </c>
      <c r="I179" s="26"/>
      <c r="J179" s="277">
        <v>0</v>
      </c>
      <c r="K179" s="73"/>
      <c r="L179" s="277">
        <v>-7272622.2000000011</v>
      </c>
      <c r="M179" s="26"/>
      <c r="N179" s="277">
        <f>+'Schedule 13 Direct Assignment'!F43+'Schedule 13 Direct Assignment'!G43</f>
        <v>-7495157.6500000004</v>
      </c>
      <c r="O179"/>
      <c r="P179" s="47">
        <f t="shared" si="9"/>
        <v>857220179.44999993</v>
      </c>
      <c r="Q179" s="11"/>
    </row>
    <row r="180" spans="2:17">
      <c r="B180" s="9"/>
      <c r="C180" s="1" t="s">
        <v>85</v>
      </c>
      <c r="F180" s="10">
        <f>AVERAGE(F167:F179)</f>
        <v>844571865.81692314</v>
      </c>
      <c r="G180" s="73"/>
      <c r="H180" s="10">
        <f>AVERAGE(H167:H179)</f>
        <v>0</v>
      </c>
      <c r="I180" s="73"/>
      <c r="J180" s="10">
        <f>AVERAGE(J167:J179)</f>
        <v>0</v>
      </c>
      <c r="K180" s="73"/>
      <c r="L180" s="10">
        <f>AVERAGE(L167:L179)</f>
        <v>-6954343.7369230781</v>
      </c>
      <c r="M180" s="73"/>
      <c r="N180" s="10">
        <f>AVERAGE(N167:N179)</f>
        <v>-7288419.1361288857</v>
      </c>
      <c r="O180"/>
      <c r="P180" s="335">
        <f>AVERAGE(P167:P179)</f>
        <v>844905941.21612906</v>
      </c>
      <c r="Q180" s="11"/>
    </row>
    <row r="181" spans="2:17">
      <c r="B181" s="9"/>
      <c r="F181" s="10"/>
      <c r="G181" s="73"/>
      <c r="H181" s="73"/>
      <c r="I181" s="73"/>
      <c r="J181" s="73"/>
      <c r="K181" s="73"/>
      <c r="L181" s="73"/>
      <c r="M181" s="73"/>
      <c r="N181" s="73"/>
      <c r="O181" s="73"/>
      <c r="Q181" s="11"/>
    </row>
    <row r="182" spans="2:17">
      <c r="B182" s="9"/>
      <c r="C182" t="s">
        <v>86</v>
      </c>
      <c r="F182" s="10"/>
      <c r="G182" s="73"/>
      <c r="H182" s="73"/>
      <c r="I182" s="73"/>
      <c r="J182" s="73"/>
      <c r="K182" s="73"/>
      <c r="L182" s="73"/>
      <c r="M182" s="73"/>
      <c r="N182" s="73"/>
      <c r="O182" s="73"/>
      <c r="Q182" s="11"/>
    </row>
    <row r="183" spans="2:17">
      <c r="B183" s="9"/>
      <c r="C183" t="s">
        <v>47</v>
      </c>
      <c r="D183" t="s">
        <v>48</v>
      </c>
      <c r="F183" s="10">
        <f>+F180+F163+F146+F129+F112</f>
        <v>2248537744.4407692</v>
      </c>
      <c r="G183" s="73"/>
      <c r="H183" s="73"/>
      <c r="I183" s="73"/>
      <c r="J183" s="73"/>
      <c r="K183" s="73"/>
      <c r="L183" s="73"/>
      <c r="M183" s="73"/>
      <c r="N183" s="73"/>
      <c r="O183" s="73"/>
      <c r="P183" s="10">
        <f>+P180+P163+P146+P129+P112</f>
        <v>2189813011.3562489</v>
      </c>
      <c r="Q183" s="11" t="s">
        <v>570</v>
      </c>
    </row>
    <row r="184" spans="2:17">
      <c r="B184" s="9"/>
      <c r="F184" s="10"/>
      <c r="G184" s="73"/>
      <c r="H184" s="73"/>
      <c r="I184" s="73"/>
      <c r="J184" s="73"/>
      <c r="K184" s="73"/>
      <c r="L184" s="73"/>
      <c r="M184" s="73"/>
      <c r="N184" s="73"/>
      <c r="O184" s="73"/>
      <c r="Q184" s="11"/>
    </row>
    <row r="185" spans="2:17">
      <c r="B185" s="9"/>
      <c r="C185" s="1" t="s">
        <v>87</v>
      </c>
      <c r="F185" s="10">
        <f>+F146+F163</f>
        <v>142156518.51153845</v>
      </c>
      <c r="G185" s="73"/>
      <c r="H185" s="73"/>
      <c r="I185" s="73"/>
      <c r="J185" s="73"/>
      <c r="K185" s="73"/>
      <c r="L185" s="73"/>
      <c r="M185" s="73"/>
      <c r="N185" s="73"/>
      <c r="O185" s="73"/>
      <c r="P185" s="10">
        <f>+P146+P163</f>
        <v>142138515.97230768</v>
      </c>
      <c r="Q185" s="11" t="s">
        <v>583</v>
      </c>
    </row>
    <row r="186" spans="2:17" ht="15.75" thickBot="1">
      <c r="B186" s="14"/>
      <c r="C186" s="15"/>
      <c r="D186" s="15"/>
      <c r="E186" s="15"/>
      <c r="F186" s="16"/>
      <c r="G186" s="76"/>
      <c r="H186" s="76"/>
      <c r="I186" s="76"/>
      <c r="J186" s="76"/>
      <c r="K186" s="76"/>
      <c r="L186" s="76"/>
      <c r="M186" s="76"/>
      <c r="N186" s="76"/>
      <c r="O186" s="76"/>
      <c r="P186" s="15"/>
      <c r="Q186" s="17"/>
    </row>
    <row r="188" spans="2:17">
      <c r="B188" t="s">
        <v>5</v>
      </c>
    </row>
    <row r="189" spans="2:17">
      <c r="B189">
        <v>1</v>
      </c>
      <c r="C189" t="s">
        <v>757</v>
      </c>
    </row>
    <row r="190" spans="2:17">
      <c r="B190">
        <v>2</v>
      </c>
      <c r="C190" t="s">
        <v>866</v>
      </c>
    </row>
    <row r="191" spans="2:17">
      <c r="B191">
        <v>3</v>
      </c>
      <c r="C191" t="s">
        <v>624</v>
      </c>
    </row>
    <row r="192" spans="2:17">
      <c r="C192" t="s">
        <v>625</v>
      </c>
      <c r="P192" s="238"/>
    </row>
    <row r="193" spans="2:16">
      <c r="B193">
        <v>4</v>
      </c>
      <c r="C193" t="s">
        <v>867</v>
      </c>
    </row>
    <row r="194" spans="2:16">
      <c r="B194">
        <v>5</v>
      </c>
      <c r="C194" t="s">
        <v>868</v>
      </c>
    </row>
    <row r="203" spans="2:16">
      <c r="H203" s="3"/>
      <c r="N203" s="3"/>
    </row>
    <row r="204" spans="2:16">
      <c r="H204" s="3"/>
      <c r="N204" s="3"/>
      <c r="P204" s="238"/>
    </row>
    <row r="205" spans="2:16">
      <c r="H205" s="3"/>
      <c r="N205" s="3"/>
    </row>
    <row r="206" spans="2:16">
      <c r="H206" s="3"/>
      <c r="N206" s="3"/>
    </row>
    <row r="207" spans="2:16">
      <c r="H207" s="3"/>
      <c r="N207" s="3"/>
    </row>
    <row r="208" spans="2:16">
      <c r="H208" s="3"/>
      <c r="N208" s="3"/>
    </row>
    <row r="209" spans="8:15">
      <c r="H209" s="3"/>
      <c r="N209" s="3"/>
      <c r="O209"/>
    </row>
    <row r="210" spans="8:15">
      <c r="H210" s="3"/>
      <c r="N210" s="3"/>
      <c r="O210"/>
    </row>
  </sheetData>
  <pageMargins left="0.7" right="0.7" top="0.75" bottom="0.75" header="0.3" footer="0.3"/>
  <pageSetup scale="44" fitToHeight="0" orientation="landscape" cellComments="asDisplayed" r:id="rId1"/>
  <rowBreaks count="2" manualBreakCount="2">
    <brk id="72" max="16383" man="1"/>
    <brk id="1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68"/>
  <sheetViews>
    <sheetView topLeftCell="B1" workbookViewId="0">
      <selection activeCell="C36" sqref="C36"/>
    </sheetView>
  </sheetViews>
  <sheetFormatPr defaultRowHeight="12.75"/>
  <cols>
    <col min="1" max="1" width="5.42578125" style="227" customWidth="1"/>
    <col min="2" max="2" width="74.42578125" style="227" customWidth="1"/>
    <col min="3" max="3" width="23.42578125" style="227" customWidth="1"/>
    <col min="4" max="10" width="15" style="227" bestFit="1" customWidth="1"/>
    <col min="11" max="11" width="17.42578125" style="227" bestFit="1" customWidth="1"/>
    <col min="12" max="14" width="15" style="227" bestFit="1" customWidth="1"/>
    <col min="15" max="15" width="16.5703125" style="227" bestFit="1" customWidth="1"/>
    <col min="16" max="17" width="22.140625" style="227" bestFit="1" customWidth="1"/>
    <col min="18" max="18" width="2.85546875" style="227" customWidth="1"/>
    <col min="19" max="27" width="22.140625" style="227" bestFit="1" customWidth="1"/>
    <col min="28" max="28" width="20.85546875" style="227" bestFit="1" customWidth="1"/>
    <col min="29" max="29" width="26.85546875" style="227" bestFit="1" customWidth="1"/>
    <col min="30" max="256" width="8.85546875" style="227"/>
    <col min="257" max="257" width="24.85546875" style="227" customWidth="1"/>
    <col min="258" max="266" width="15" style="227" bestFit="1" customWidth="1"/>
    <col min="267" max="267" width="17.28515625" style="227" bestFit="1" customWidth="1"/>
    <col min="268" max="270" width="15" style="227" bestFit="1" customWidth="1"/>
    <col min="271" max="271" width="16.5703125" style="227" bestFit="1" customWidth="1"/>
    <col min="272" max="283" width="22.140625" style="227" bestFit="1" customWidth="1"/>
    <col min="284" max="284" width="20.85546875" style="227" bestFit="1" customWidth="1"/>
    <col min="285" max="285" width="26.85546875" style="227" bestFit="1" customWidth="1"/>
    <col min="286" max="512" width="8.85546875" style="227"/>
    <col min="513" max="513" width="24.85546875" style="227" customWidth="1"/>
    <col min="514" max="522" width="15" style="227" bestFit="1" customWidth="1"/>
    <col min="523" max="523" width="17.28515625" style="227" bestFit="1" customWidth="1"/>
    <col min="524" max="526" width="15" style="227" bestFit="1" customWidth="1"/>
    <col min="527" max="527" width="16.5703125" style="227" bestFit="1" customWidth="1"/>
    <col min="528" max="539" width="22.140625" style="227" bestFit="1" customWidth="1"/>
    <col min="540" max="540" width="20.85546875" style="227" bestFit="1" customWidth="1"/>
    <col min="541" max="541" width="26.85546875" style="227" bestFit="1" customWidth="1"/>
    <col min="542" max="768" width="8.85546875" style="227"/>
    <col min="769" max="769" width="24.85546875" style="227" customWidth="1"/>
    <col min="770" max="778" width="15" style="227" bestFit="1" customWidth="1"/>
    <col min="779" max="779" width="17.28515625" style="227" bestFit="1" customWidth="1"/>
    <col min="780" max="782" width="15" style="227" bestFit="1" customWidth="1"/>
    <col min="783" max="783" width="16.5703125" style="227" bestFit="1" customWidth="1"/>
    <col min="784" max="795" width="22.140625" style="227" bestFit="1" customWidth="1"/>
    <col min="796" max="796" width="20.85546875" style="227" bestFit="1" customWidth="1"/>
    <col min="797" max="797" width="26.85546875" style="227" bestFit="1" customWidth="1"/>
    <col min="798" max="1024" width="8.85546875" style="227"/>
    <col min="1025" max="1025" width="24.85546875" style="227" customWidth="1"/>
    <col min="1026" max="1034" width="15" style="227" bestFit="1" customWidth="1"/>
    <col min="1035" max="1035" width="17.28515625" style="227" bestFit="1" customWidth="1"/>
    <col min="1036" max="1038" width="15" style="227" bestFit="1" customWidth="1"/>
    <col min="1039" max="1039" width="16.5703125" style="227" bestFit="1" customWidth="1"/>
    <col min="1040" max="1051" width="22.140625" style="227" bestFit="1" customWidth="1"/>
    <col min="1052" max="1052" width="20.85546875" style="227" bestFit="1" customWidth="1"/>
    <col min="1053" max="1053" width="26.85546875" style="227" bestFit="1" customWidth="1"/>
    <col min="1054" max="1280" width="8.85546875" style="227"/>
    <col min="1281" max="1281" width="24.85546875" style="227" customWidth="1"/>
    <col min="1282" max="1290" width="15" style="227" bestFit="1" customWidth="1"/>
    <col min="1291" max="1291" width="17.28515625" style="227" bestFit="1" customWidth="1"/>
    <col min="1292" max="1294" width="15" style="227" bestFit="1" customWidth="1"/>
    <col min="1295" max="1295" width="16.5703125" style="227" bestFit="1" customWidth="1"/>
    <col min="1296" max="1307" width="22.140625" style="227" bestFit="1" customWidth="1"/>
    <col min="1308" max="1308" width="20.85546875" style="227" bestFit="1" customWidth="1"/>
    <col min="1309" max="1309" width="26.85546875" style="227" bestFit="1" customWidth="1"/>
    <col min="1310" max="1536" width="8.85546875" style="227"/>
    <col min="1537" max="1537" width="24.85546875" style="227" customWidth="1"/>
    <col min="1538" max="1546" width="15" style="227" bestFit="1" customWidth="1"/>
    <col min="1547" max="1547" width="17.28515625" style="227" bestFit="1" customWidth="1"/>
    <col min="1548" max="1550" width="15" style="227" bestFit="1" customWidth="1"/>
    <col min="1551" max="1551" width="16.5703125" style="227" bestFit="1" customWidth="1"/>
    <col min="1552" max="1563" width="22.140625" style="227" bestFit="1" customWidth="1"/>
    <col min="1564" max="1564" width="20.85546875" style="227" bestFit="1" customWidth="1"/>
    <col min="1565" max="1565" width="26.85546875" style="227" bestFit="1" customWidth="1"/>
    <col min="1566" max="1792" width="8.85546875" style="227"/>
    <col min="1793" max="1793" width="24.85546875" style="227" customWidth="1"/>
    <col min="1794" max="1802" width="15" style="227" bestFit="1" customWidth="1"/>
    <col min="1803" max="1803" width="17.28515625" style="227" bestFit="1" customWidth="1"/>
    <col min="1804" max="1806" width="15" style="227" bestFit="1" customWidth="1"/>
    <col min="1807" max="1807" width="16.5703125" style="227" bestFit="1" customWidth="1"/>
    <col min="1808" max="1819" width="22.140625" style="227" bestFit="1" customWidth="1"/>
    <col min="1820" max="1820" width="20.85546875" style="227" bestFit="1" customWidth="1"/>
    <col min="1821" max="1821" width="26.85546875" style="227" bestFit="1" customWidth="1"/>
    <col min="1822" max="2048" width="8.85546875" style="227"/>
    <col min="2049" max="2049" width="24.85546875" style="227" customWidth="1"/>
    <col min="2050" max="2058" width="15" style="227" bestFit="1" customWidth="1"/>
    <col min="2059" max="2059" width="17.28515625" style="227" bestFit="1" customWidth="1"/>
    <col min="2060" max="2062" width="15" style="227" bestFit="1" customWidth="1"/>
    <col min="2063" max="2063" width="16.5703125" style="227" bestFit="1" customWidth="1"/>
    <col min="2064" max="2075" width="22.140625" style="227" bestFit="1" customWidth="1"/>
    <col min="2076" max="2076" width="20.85546875" style="227" bestFit="1" customWidth="1"/>
    <col min="2077" max="2077" width="26.85546875" style="227" bestFit="1" customWidth="1"/>
    <col min="2078" max="2304" width="8.85546875" style="227"/>
    <col min="2305" max="2305" width="24.85546875" style="227" customWidth="1"/>
    <col min="2306" max="2314" width="15" style="227" bestFit="1" customWidth="1"/>
    <col min="2315" max="2315" width="17.28515625" style="227" bestFit="1" customWidth="1"/>
    <col min="2316" max="2318" width="15" style="227" bestFit="1" customWidth="1"/>
    <col min="2319" max="2319" width="16.5703125" style="227" bestFit="1" customWidth="1"/>
    <col min="2320" max="2331" width="22.140625" style="227" bestFit="1" customWidth="1"/>
    <col min="2332" max="2332" width="20.85546875" style="227" bestFit="1" customWidth="1"/>
    <col min="2333" max="2333" width="26.85546875" style="227" bestFit="1" customWidth="1"/>
    <col min="2334" max="2560" width="8.85546875" style="227"/>
    <col min="2561" max="2561" width="24.85546875" style="227" customWidth="1"/>
    <col min="2562" max="2570" width="15" style="227" bestFit="1" customWidth="1"/>
    <col min="2571" max="2571" width="17.28515625" style="227" bestFit="1" customWidth="1"/>
    <col min="2572" max="2574" width="15" style="227" bestFit="1" customWidth="1"/>
    <col min="2575" max="2575" width="16.5703125" style="227" bestFit="1" customWidth="1"/>
    <col min="2576" max="2587" width="22.140625" style="227" bestFit="1" customWidth="1"/>
    <col min="2588" max="2588" width="20.85546875" style="227" bestFit="1" customWidth="1"/>
    <col min="2589" max="2589" width="26.85546875" style="227" bestFit="1" customWidth="1"/>
    <col min="2590" max="2816" width="8.85546875" style="227"/>
    <col min="2817" max="2817" width="24.85546875" style="227" customWidth="1"/>
    <col min="2818" max="2826" width="15" style="227" bestFit="1" customWidth="1"/>
    <col min="2827" max="2827" width="17.28515625" style="227" bestFit="1" customWidth="1"/>
    <col min="2828" max="2830" width="15" style="227" bestFit="1" customWidth="1"/>
    <col min="2831" max="2831" width="16.5703125" style="227" bestFit="1" customWidth="1"/>
    <col min="2832" max="2843" width="22.140625" style="227" bestFit="1" customWidth="1"/>
    <col min="2844" max="2844" width="20.85546875" style="227" bestFit="1" customWidth="1"/>
    <col min="2845" max="2845" width="26.85546875" style="227" bestFit="1" customWidth="1"/>
    <col min="2846" max="3072" width="8.85546875" style="227"/>
    <col min="3073" max="3073" width="24.85546875" style="227" customWidth="1"/>
    <col min="3074" max="3082" width="15" style="227" bestFit="1" customWidth="1"/>
    <col min="3083" max="3083" width="17.28515625" style="227" bestFit="1" customWidth="1"/>
    <col min="3084" max="3086" width="15" style="227" bestFit="1" customWidth="1"/>
    <col min="3087" max="3087" width="16.5703125" style="227" bestFit="1" customWidth="1"/>
    <col min="3088" max="3099" width="22.140625" style="227" bestFit="1" customWidth="1"/>
    <col min="3100" max="3100" width="20.85546875" style="227" bestFit="1" customWidth="1"/>
    <col min="3101" max="3101" width="26.85546875" style="227" bestFit="1" customWidth="1"/>
    <col min="3102" max="3328" width="8.85546875" style="227"/>
    <col min="3329" max="3329" width="24.85546875" style="227" customWidth="1"/>
    <col min="3330" max="3338" width="15" style="227" bestFit="1" customWidth="1"/>
    <col min="3339" max="3339" width="17.28515625" style="227" bestFit="1" customWidth="1"/>
    <col min="3340" max="3342" width="15" style="227" bestFit="1" customWidth="1"/>
    <col min="3343" max="3343" width="16.5703125" style="227" bestFit="1" customWidth="1"/>
    <col min="3344" max="3355" width="22.140625" style="227" bestFit="1" customWidth="1"/>
    <col min="3356" max="3356" width="20.85546875" style="227" bestFit="1" customWidth="1"/>
    <col min="3357" max="3357" width="26.85546875" style="227" bestFit="1" customWidth="1"/>
    <col min="3358" max="3584" width="8.85546875" style="227"/>
    <col min="3585" max="3585" width="24.85546875" style="227" customWidth="1"/>
    <col min="3586" max="3594" width="15" style="227" bestFit="1" customWidth="1"/>
    <col min="3595" max="3595" width="17.28515625" style="227" bestFit="1" customWidth="1"/>
    <col min="3596" max="3598" width="15" style="227" bestFit="1" customWidth="1"/>
    <col min="3599" max="3599" width="16.5703125" style="227" bestFit="1" customWidth="1"/>
    <col min="3600" max="3611" width="22.140625" style="227" bestFit="1" customWidth="1"/>
    <col min="3612" max="3612" width="20.85546875" style="227" bestFit="1" customWidth="1"/>
    <col min="3613" max="3613" width="26.85546875" style="227" bestFit="1" customWidth="1"/>
    <col min="3614" max="3840" width="8.85546875" style="227"/>
    <col min="3841" max="3841" width="24.85546875" style="227" customWidth="1"/>
    <col min="3842" max="3850" width="15" style="227" bestFit="1" customWidth="1"/>
    <col min="3851" max="3851" width="17.28515625" style="227" bestFit="1" customWidth="1"/>
    <col min="3852" max="3854" width="15" style="227" bestFit="1" customWidth="1"/>
    <col min="3855" max="3855" width="16.5703125" style="227" bestFit="1" customWidth="1"/>
    <col min="3856" max="3867" width="22.140625" style="227" bestFit="1" customWidth="1"/>
    <col min="3868" max="3868" width="20.85546875" style="227" bestFit="1" customWidth="1"/>
    <col min="3869" max="3869" width="26.85546875" style="227" bestFit="1" customWidth="1"/>
    <col min="3870" max="4096" width="8.85546875" style="227"/>
    <col min="4097" max="4097" width="24.85546875" style="227" customWidth="1"/>
    <col min="4098" max="4106" width="15" style="227" bestFit="1" customWidth="1"/>
    <col min="4107" max="4107" width="17.28515625" style="227" bestFit="1" customWidth="1"/>
    <col min="4108" max="4110" width="15" style="227" bestFit="1" customWidth="1"/>
    <col min="4111" max="4111" width="16.5703125" style="227" bestFit="1" customWidth="1"/>
    <col min="4112" max="4123" width="22.140625" style="227" bestFit="1" customWidth="1"/>
    <col min="4124" max="4124" width="20.85546875" style="227" bestFit="1" customWidth="1"/>
    <col min="4125" max="4125" width="26.85546875" style="227" bestFit="1" customWidth="1"/>
    <col min="4126" max="4352" width="8.85546875" style="227"/>
    <col min="4353" max="4353" width="24.85546875" style="227" customWidth="1"/>
    <col min="4354" max="4362" width="15" style="227" bestFit="1" customWidth="1"/>
    <col min="4363" max="4363" width="17.28515625" style="227" bestFit="1" customWidth="1"/>
    <col min="4364" max="4366" width="15" style="227" bestFit="1" customWidth="1"/>
    <col min="4367" max="4367" width="16.5703125" style="227" bestFit="1" customWidth="1"/>
    <col min="4368" max="4379" width="22.140625" style="227" bestFit="1" customWidth="1"/>
    <col min="4380" max="4380" width="20.85546875" style="227" bestFit="1" customWidth="1"/>
    <col min="4381" max="4381" width="26.85546875" style="227" bestFit="1" customWidth="1"/>
    <col min="4382" max="4608" width="8.85546875" style="227"/>
    <col min="4609" max="4609" width="24.85546875" style="227" customWidth="1"/>
    <col min="4610" max="4618" width="15" style="227" bestFit="1" customWidth="1"/>
    <col min="4619" max="4619" width="17.28515625" style="227" bestFit="1" customWidth="1"/>
    <col min="4620" max="4622" width="15" style="227" bestFit="1" customWidth="1"/>
    <col min="4623" max="4623" width="16.5703125" style="227" bestFit="1" customWidth="1"/>
    <col min="4624" max="4635" width="22.140625" style="227" bestFit="1" customWidth="1"/>
    <col min="4636" max="4636" width="20.85546875" style="227" bestFit="1" customWidth="1"/>
    <col min="4637" max="4637" width="26.85546875" style="227" bestFit="1" customWidth="1"/>
    <col min="4638" max="4864" width="8.85546875" style="227"/>
    <col min="4865" max="4865" width="24.85546875" style="227" customWidth="1"/>
    <col min="4866" max="4874" width="15" style="227" bestFit="1" customWidth="1"/>
    <col min="4875" max="4875" width="17.28515625" style="227" bestFit="1" customWidth="1"/>
    <col min="4876" max="4878" width="15" style="227" bestFit="1" customWidth="1"/>
    <col min="4879" max="4879" width="16.5703125" style="227" bestFit="1" customWidth="1"/>
    <col min="4880" max="4891" width="22.140625" style="227" bestFit="1" customWidth="1"/>
    <col min="4892" max="4892" width="20.85546875" style="227" bestFit="1" customWidth="1"/>
    <col min="4893" max="4893" width="26.85546875" style="227" bestFit="1" customWidth="1"/>
    <col min="4894" max="5120" width="8.85546875" style="227"/>
    <col min="5121" max="5121" width="24.85546875" style="227" customWidth="1"/>
    <col min="5122" max="5130" width="15" style="227" bestFit="1" customWidth="1"/>
    <col min="5131" max="5131" width="17.28515625" style="227" bestFit="1" customWidth="1"/>
    <col min="5132" max="5134" width="15" style="227" bestFit="1" customWidth="1"/>
    <col min="5135" max="5135" width="16.5703125" style="227" bestFit="1" customWidth="1"/>
    <col min="5136" max="5147" width="22.140625" style="227" bestFit="1" customWidth="1"/>
    <col min="5148" max="5148" width="20.85546875" style="227" bestFit="1" customWidth="1"/>
    <col min="5149" max="5149" width="26.85546875" style="227" bestFit="1" customWidth="1"/>
    <col min="5150" max="5376" width="8.85546875" style="227"/>
    <col min="5377" max="5377" width="24.85546875" style="227" customWidth="1"/>
    <col min="5378" max="5386" width="15" style="227" bestFit="1" customWidth="1"/>
    <col min="5387" max="5387" width="17.28515625" style="227" bestFit="1" customWidth="1"/>
    <col min="5388" max="5390" width="15" style="227" bestFit="1" customWidth="1"/>
    <col min="5391" max="5391" width="16.5703125" style="227" bestFit="1" customWidth="1"/>
    <col min="5392" max="5403" width="22.140625" style="227" bestFit="1" customWidth="1"/>
    <col min="5404" max="5404" width="20.85546875" style="227" bestFit="1" customWidth="1"/>
    <col min="5405" max="5405" width="26.85546875" style="227" bestFit="1" customWidth="1"/>
    <col min="5406" max="5632" width="8.85546875" style="227"/>
    <col min="5633" max="5633" width="24.85546875" style="227" customWidth="1"/>
    <col min="5634" max="5642" width="15" style="227" bestFit="1" customWidth="1"/>
    <col min="5643" max="5643" width="17.28515625" style="227" bestFit="1" customWidth="1"/>
    <col min="5644" max="5646" width="15" style="227" bestFit="1" customWidth="1"/>
    <col min="5647" max="5647" width="16.5703125" style="227" bestFit="1" customWidth="1"/>
    <col min="5648" max="5659" width="22.140625" style="227" bestFit="1" customWidth="1"/>
    <col min="5660" max="5660" width="20.85546875" style="227" bestFit="1" customWidth="1"/>
    <col min="5661" max="5661" width="26.85546875" style="227" bestFit="1" customWidth="1"/>
    <col min="5662" max="5888" width="8.85546875" style="227"/>
    <col min="5889" max="5889" width="24.85546875" style="227" customWidth="1"/>
    <col min="5890" max="5898" width="15" style="227" bestFit="1" customWidth="1"/>
    <col min="5899" max="5899" width="17.28515625" style="227" bestFit="1" customWidth="1"/>
    <col min="5900" max="5902" width="15" style="227" bestFit="1" customWidth="1"/>
    <col min="5903" max="5903" width="16.5703125" style="227" bestFit="1" customWidth="1"/>
    <col min="5904" max="5915" width="22.140625" style="227" bestFit="1" customWidth="1"/>
    <col min="5916" max="5916" width="20.85546875" style="227" bestFit="1" customWidth="1"/>
    <col min="5917" max="5917" width="26.85546875" style="227" bestFit="1" customWidth="1"/>
    <col min="5918" max="6144" width="8.85546875" style="227"/>
    <col min="6145" max="6145" width="24.85546875" style="227" customWidth="1"/>
    <col min="6146" max="6154" width="15" style="227" bestFit="1" customWidth="1"/>
    <col min="6155" max="6155" width="17.28515625" style="227" bestFit="1" customWidth="1"/>
    <col min="6156" max="6158" width="15" style="227" bestFit="1" customWidth="1"/>
    <col min="6159" max="6159" width="16.5703125" style="227" bestFit="1" customWidth="1"/>
    <col min="6160" max="6171" width="22.140625" style="227" bestFit="1" customWidth="1"/>
    <col min="6172" max="6172" width="20.85546875" style="227" bestFit="1" customWidth="1"/>
    <col min="6173" max="6173" width="26.85546875" style="227" bestFit="1" customWidth="1"/>
    <col min="6174" max="6400" width="8.85546875" style="227"/>
    <col min="6401" max="6401" width="24.85546875" style="227" customWidth="1"/>
    <col min="6402" max="6410" width="15" style="227" bestFit="1" customWidth="1"/>
    <col min="6411" max="6411" width="17.28515625" style="227" bestFit="1" customWidth="1"/>
    <col min="6412" max="6414" width="15" style="227" bestFit="1" customWidth="1"/>
    <col min="6415" max="6415" width="16.5703125" style="227" bestFit="1" customWidth="1"/>
    <col min="6416" max="6427" width="22.140625" style="227" bestFit="1" customWidth="1"/>
    <col min="6428" max="6428" width="20.85546875" style="227" bestFit="1" customWidth="1"/>
    <col min="6429" max="6429" width="26.85546875" style="227" bestFit="1" customWidth="1"/>
    <col min="6430" max="6656" width="8.85546875" style="227"/>
    <col min="6657" max="6657" width="24.85546875" style="227" customWidth="1"/>
    <col min="6658" max="6666" width="15" style="227" bestFit="1" customWidth="1"/>
    <col min="6667" max="6667" width="17.28515625" style="227" bestFit="1" customWidth="1"/>
    <col min="6668" max="6670" width="15" style="227" bestFit="1" customWidth="1"/>
    <col min="6671" max="6671" width="16.5703125" style="227" bestFit="1" customWidth="1"/>
    <col min="6672" max="6683" width="22.140625" style="227" bestFit="1" customWidth="1"/>
    <col min="6684" max="6684" width="20.85546875" style="227" bestFit="1" customWidth="1"/>
    <col min="6685" max="6685" width="26.85546875" style="227" bestFit="1" customWidth="1"/>
    <col min="6686" max="6912" width="8.85546875" style="227"/>
    <col min="6913" max="6913" width="24.85546875" style="227" customWidth="1"/>
    <col min="6914" max="6922" width="15" style="227" bestFit="1" customWidth="1"/>
    <col min="6923" max="6923" width="17.28515625" style="227" bestFit="1" customWidth="1"/>
    <col min="6924" max="6926" width="15" style="227" bestFit="1" customWidth="1"/>
    <col min="6927" max="6927" width="16.5703125" style="227" bestFit="1" customWidth="1"/>
    <col min="6928" max="6939" width="22.140625" style="227" bestFit="1" customWidth="1"/>
    <col min="6940" max="6940" width="20.85546875" style="227" bestFit="1" customWidth="1"/>
    <col min="6941" max="6941" width="26.85546875" style="227" bestFit="1" customWidth="1"/>
    <col min="6942" max="7168" width="8.85546875" style="227"/>
    <col min="7169" max="7169" width="24.85546875" style="227" customWidth="1"/>
    <col min="7170" max="7178" width="15" style="227" bestFit="1" customWidth="1"/>
    <col min="7179" max="7179" width="17.28515625" style="227" bestFit="1" customWidth="1"/>
    <col min="7180" max="7182" width="15" style="227" bestFit="1" customWidth="1"/>
    <col min="7183" max="7183" width="16.5703125" style="227" bestFit="1" customWidth="1"/>
    <col min="7184" max="7195" width="22.140625" style="227" bestFit="1" customWidth="1"/>
    <col min="7196" max="7196" width="20.85546875" style="227" bestFit="1" customWidth="1"/>
    <col min="7197" max="7197" width="26.85546875" style="227" bestFit="1" customWidth="1"/>
    <col min="7198" max="7424" width="8.85546875" style="227"/>
    <col min="7425" max="7425" width="24.85546875" style="227" customWidth="1"/>
    <col min="7426" max="7434" width="15" style="227" bestFit="1" customWidth="1"/>
    <col min="7435" max="7435" width="17.28515625" style="227" bestFit="1" customWidth="1"/>
    <col min="7436" max="7438" width="15" style="227" bestFit="1" customWidth="1"/>
    <col min="7439" max="7439" width="16.5703125" style="227" bestFit="1" customWidth="1"/>
    <col min="7440" max="7451" width="22.140625" style="227" bestFit="1" customWidth="1"/>
    <col min="7452" max="7452" width="20.85546875" style="227" bestFit="1" customWidth="1"/>
    <col min="7453" max="7453" width="26.85546875" style="227" bestFit="1" customWidth="1"/>
    <col min="7454" max="7680" width="8.85546875" style="227"/>
    <col min="7681" max="7681" width="24.85546875" style="227" customWidth="1"/>
    <col min="7682" max="7690" width="15" style="227" bestFit="1" customWidth="1"/>
    <col min="7691" max="7691" width="17.28515625" style="227" bestFit="1" customWidth="1"/>
    <col min="7692" max="7694" width="15" style="227" bestFit="1" customWidth="1"/>
    <col min="7695" max="7695" width="16.5703125" style="227" bestFit="1" customWidth="1"/>
    <col min="7696" max="7707" width="22.140625" style="227" bestFit="1" customWidth="1"/>
    <col min="7708" max="7708" width="20.85546875" style="227" bestFit="1" customWidth="1"/>
    <col min="7709" max="7709" width="26.85546875" style="227" bestFit="1" customWidth="1"/>
    <col min="7710" max="7936" width="8.85546875" style="227"/>
    <col min="7937" max="7937" width="24.85546875" style="227" customWidth="1"/>
    <col min="7938" max="7946" width="15" style="227" bestFit="1" customWidth="1"/>
    <col min="7947" max="7947" width="17.28515625" style="227" bestFit="1" customWidth="1"/>
    <col min="7948" max="7950" width="15" style="227" bestFit="1" customWidth="1"/>
    <col min="7951" max="7951" width="16.5703125" style="227" bestFit="1" customWidth="1"/>
    <col min="7952" max="7963" width="22.140625" style="227" bestFit="1" customWidth="1"/>
    <col min="7964" max="7964" width="20.85546875" style="227" bestFit="1" customWidth="1"/>
    <col min="7965" max="7965" width="26.85546875" style="227" bestFit="1" customWidth="1"/>
    <col min="7966" max="8192" width="8.85546875" style="227"/>
    <col min="8193" max="8193" width="24.85546875" style="227" customWidth="1"/>
    <col min="8194" max="8202" width="15" style="227" bestFit="1" customWidth="1"/>
    <col min="8203" max="8203" width="17.28515625" style="227" bestFit="1" customWidth="1"/>
    <col min="8204" max="8206" width="15" style="227" bestFit="1" customWidth="1"/>
    <col min="8207" max="8207" width="16.5703125" style="227" bestFit="1" customWidth="1"/>
    <col min="8208" max="8219" width="22.140625" style="227" bestFit="1" customWidth="1"/>
    <col min="8220" max="8220" width="20.85546875" style="227" bestFit="1" customWidth="1"/>
    <col min="8221" max="8221" width="26.85546875" style="227" bestFit="1" customWidth="1"/>
    <col min="8222" max="8448" width="8.85546875" style="227"/>
    <col min="8449" max="8449" width="24.85546875" style="227" customWidth="1"/>
    <col min="8450" max="8458" width="15" style="227" bestFit="1" customWidth="1"/>
    <col min="8459" max="8459" width="17.28515625" style="227" bestFit="1" customWidth="1"/>
    <col min="8460" max="8462" width="15" style="227" bestFit="1" customWidth="1"/>
    <col min="8463" max="8463" width="16.5703125" style="227" bestFit="1" customWidth="1"/>
    <col min="8464" max="8475" width="22.140625" style="227" bestFit="1" customWidth="1"/>
    <col min="8476" max="8476" width="20.85546875" style="227" bestFit="1" customWidth="1"/>
    <col min="8477" max="8477" width="26.85546875" style="227" bestFit="1" customWidth="1"/>
    <col min="8478" max="8704" width="8.85546875" style="227"/>
    <col min="8705" max="8705" width="24.85546875" style="227" customWidth="1"/>
    <col min="8706" max="8714" width="15" style="227" bestFit="1" customWidth="1"/>
    <col min="8715" max="8715" width="17.28515625" style="227" bestFit="1" customWidth="1"/>
    <col min="8716" max="8718" width="15" style="227" bestFit="1" customWidth="1"/>
    <col min="8719" max="8719" width="16.5703125" style="227" bestFit="1" customWidth="1"/>
    <col min="8720" max="8731" width="22.140625" style="227" bestFit="1" customWidth="1"/>
    <col min="8732" max="8732" width="20.85546875" style="227" bestFit="1" customWidth="1"/>
    <col min="8733" max="8733" width="26.85546875" style="227" bestFit="1" customWidth="1"/>
    <col min="8734" max="8960" width="8.85546875" style="227"/>
    <col min="8961" max="8961" width="24.85546875" style="227" customWidth="1"/>
    <col min="8962" max="8970" width="15" style="227" bestFit="1" customWidth="1"/>
    <col min="8971" max="8971" width="17.28515625" style="227" bestFit="1" customWidth="1"/>
    <col min="8972" max="8974" width="15" style="227" bestFit="1" customWidth="1"/>
    <col min="8975" max="8975" width="16.5703125" style="227" bestFit="1" customWidth="1"/>
    <col min="8976" max="8987" width="22.140625" style="227" bestFit="1" customWidth="1"/>
    <col min="8988" max="8988" width="20.85546875" style="227" bestFit="1" customWidth="1"/>
    <col min="8989" max="8989" width="26.85546875" style="227" bestFit="1" customWidth="1"/>
    <col min="8990" max="9216" width="8.85546875" style="227"/>
    <col min="9217" max="9217" width="24.85546875" style="227" customWidth="1"/>
    <col min="9218" max="9226" width="15" style="227" bestFit="1" customWidth="1"/>
    <col min="9227" max="9227" width="17.28515625" style="227" bestFit="1" customWidth="1"/>
    <col min="9228" max="9230" width="15" style="227" bestFit="1" customWidth="1"/>
    <col min="9231" max="9231" width="16.5703125" style="227" bestFit="1" customWidth="1"/>
    <col min="9232" max="9243" width="22.140625" style="227" bestFit="1" customWidth="1"/>
    <col min="9244" max="9244" width="20.85546875" style="227" bestFit="1" customWidth="1"/>
    <col min="9245" max="9245" width="26.85546875" style="227" bestFit="1" customWidth="1"/>
    <col min="9246" max="9472" width="8.85546875" style="227"/>
    <col min="9473" max="9473" width="24.85546875" style="227" customWidth="1"/>
    <col min="9474" max="9482" width="15" style="227" bestFit="1" customWidth="1"/>
    <col min="9483" max="9483" width="17.28515625" style="227" bestFit="1" customWidth="1"/>
    <col min="9484" max="9486" width="15" style="227" bestFit="1" customWidth="1"/>
    <col min="9487" max="9487" width="16.5703125" style="227" bestFit="1" customWidth="1"/>
    <col min="9488" max="9499" width="22.140625" style="227" bestFit="1" customWidth="1"/>
    <col min="9500" max="9500" width="20.85546875" style="227" bestFit="1" customWidth="1"/>
    <col min="9501" max="9501" width="26.85546875" style="227" bestFit="1" customWidth="1"/>
    <col min="9502" max="9728" width="8.85546875" style="227"/>
    <col min="9729" max="9729" width="24.85546875" style="227" customWidth="1"/>
    <col min="9730" max="9738" width="15" style="227" bestFit="1" customWidth="1"/>
    <col min="9739" max="9739" width="17.28515625" style="227" bestFit="1" customWidth="1"/>
    <col min="9740" max="9742" width="15" style="227" bestFit="1" customWidth="1"/>
    <col min="9743" max="9743" width="16.5703125" style="227" bestFit="1" customWidth="1"/>
    <col min="9744" max="9755" width="22.140625" style="227" bestFit="1" customWidth="1"/>
    <col min="9756" max="9756" width="20.85546875" style="227" bestFit="1" customWidth="1"/>
    <col min="9757" max="9757" width="26.85546875" style="227" bestFit="1" customWidth="1"/>
    <col min="9758" max="9984" width="8.85546875" style="227"/>
    <col min="9985" max="9985" width="24.85546875" style="227" customWidth="1"/>
    <col min="9986" max="9994" width="15" style="227" bestFit="1" customWidth="1"/>
    <col min="9995" max="9995" width="17.28515625" style="227" bestFit="1" customWidth="1"/>
    <col min="9996" max="9998" width="15" style="227" bestFit="1" customWidth="1"/>
    <col min="9999" max="9999" width="16.5703125" style="227" bestFit="1" customWidth="1"/>
    <col min="10000" max="10011" width="22.140625" style="227" bestFit="1" customWidth="1"/>
    <col min="10012" max="10012" width="20.85546875" style="227" bestFit="1" customWidth="1"/>
    <col min="10013" max="10013" width="26.85546875" style="227" bestFit="1" customWidth="1"/>
    <col min="10014" max="10240" width="8.85546875" style="227"/>
    <col min="10241" max="10241" width="24.85546875" style="227" customWidth="1"/>
    <col min="10242" max="10250" width="15" style="227" bestFit="1" customWidth="1"/>
    <col min="10251" max="10251" width="17.28515625" style="227" bestFit="1" customWidth="1"/>
    <col min="10252" max="10254" width="15" style="227" bestFit="1" customWidth="1"/>
    <col min="10255" max="10255" width="16.5703125" style="227" bestFit="1" customWidth="1"/>
    <col min="10256" max="10267" width="22.140625" style="227" bestFit="1" customWidth="1"/>
    <col min="10268" max="10268" width="20.85546875" style="227" bestFit="1" customWidth="1"/>
    <col min="10269" max="10269" width="26.85546875" style="227" bestFit="1" customWidth="1"/>
    <col min="10270" max="10496" width="8.85546875" style="227"/>
    <col min="10497" max="10497" width="24.85546875" style="227" customWidth="1"/>
    <col min="10498" max="10506" width="15" style="227" bestFit="1" customWidth="1"/>
    <col min="10507" max="10507" width="17.28515625" style="227" bestFit="1" customWidth="1"/>
    <col min="10508" max="10510" width="15" style="227" bestFit="1" customWidth="1"/>
    <col min="10511" max="10511" width="16.5703125" style="227" bestFit="1" customWidth="1"/>
    <col min="10512" max="10523" width="22.140625" style="227" bestFit="1" customWidth="1"/>
    <col min="10524" max="10524" width="20.85546875" style="227" bestFit="1" customWidth="1"/>
    <col min="10525" max="10525" width="26.85546875" style="227" bestFit="1" customWidth="1"/>
    <col min="10526" max="10752" width="8.85546875" style="227"/>
    <col min="10753" max="10753" width="24.85546875" style="227" customWidth="1"/>
    <col min="10754" max="10762" width="15" style="227" bestFit="1" customWidth="1"/>
    <col min="10763" max="10763" width="17.28515625" style="227" bestFit="1" customWidth="1"/>
    <col min="10764" max="10766" width="15" style="227" bestFit="1" customWidth="1"/>
    <col min="10767" max="10767" width="16.5703125" style="227" bestFit="1" customWidth="1"/>
    <col min="10768" max="10779" width="22.140625" style="227" bestFit="1" customWidth="1"/>
    <col min="10780" max="10780" width="20.85546875" style="227" bestFit="1" customWidth="1"/>
    <col min="10781" max="10781" width="26.85546875" style="227" bestFit="1" customWidth="1"/>
    <col min="10782" max="11008" width="8.85546875" style="227"/>
    <col min="11009" max="11009" width="24.85546875" style="227" customWidth="1"/>
    <col min="11010" max="11018" width="15" style="227" bestFit="1" customWidth="1"/>
    <col min="11019" max="11019" width="17.28515625" style="227" bestFit="1" customWidth="1"/>
    <col min="11020" max="11022" width="15" style="227" bestFit="1" customWidth="1"/>
    <col min="11023" max="11023" width="16.5703125" style="227" bestFit="1" customWidth="1"/>
    <col min="11024" max="11035" width="22.140625" style="227" bestFit="1" customWidth="1"/>
    <col min="11036" max="11036" width="20.85546875" style="227" bestFit="1" customWidth="1"/>
    <col min="11037" max="11037" width="26.85546875" style="227" bestFit="1" customWidth="1"/>
    <col min="11038" max="11264" width="8.85546875" style="227"/>
    <col min="11265" max="11265" width="24.85546875" style="227" customWidth="1"/>
    <col min="11266" max="11274" width="15" style="227" bestFit="1" customWidth="1"/>
    <col min="11275" max="11275" width="17.28515625" style="227" bestFit="1" customWidth="1"/>
    <col min="11276" max="11278" width="15" style="227" bestFit="1" customWidth="1"/>
    <col min="11279" max="11279" width="16.5703125" style="227" bestFit="1" customWidth="1"/>
    <col min="11280" max="11291" width="22.140625" style="227" bestFit="1" customWidth="1"/>
    <col min="11292" max="11292" width="20.85546875" style="227" bestFit="1" customWidth="1"/>
    <col min="11293" max="11293" width="26.85546875" style="227" bestFit="1" customWidth="1"/>
    <col min="11294" max="11520" width="8.85546875" style="227"/>
    <col min="11521" max="11521" width="24.85546875" style="227" customWidth="1"/>
    <col min="11522" max="11530" width="15" style="227" bestFit="1" customWidth="1"/>
    <col min="11531" max="11531" width="17.28515625" style="227" bestFit="1" customWidth="1"/>
    <col min="11532" max="11534" width="15" style="227" bestFit="1" customWidth="1"/>
    <col min="11535" max="11535" width="16.5703125" style="227" bestFit="1" customWidth="1"/>
    <col min="11536" max="11547" width="22.140625" style="227" bestFit="1" customWidth="1"/>
    <col min="11548" max="11548" width="20.85546875" style="227" bestFit="1" customWidth="1"/>
    <col min="11549" max="11549" width="26.85546875" style="227" bestFit="1" customWidth="1"/>
    <col min="11550" max="11776" width="8.85546875" style="227"/>
    <col min="11777" max="11777" width="24.85546875" style="227" customWidth="1"/>
    <col min="11778" max="11786" width="15" style="227" bestFit="1" customWidth="1"/>
    <col min="11787" max="11787" width="17.28515625" style="227" bestFit="1" customWidth="1"/>
    <col min="11788" max="11790" width="15" style="227" bestFit="1" customWidth="1"/>
    <col min="11791" max="11791" width="16.5703125" style="227" bestFit="1" customWidth="1"/>
    <col min="11792" max="11803" width="22.140625" style="227" bestFit="1" customWidth="1"/>
    <col min="11804" max="11804" width="20.85546875" style="227" bestFit="1" customWidth="1"/>
    <col min="11805" max="11805" width="26.85546875" style="227" bestFit="1" customWidth="1"/>
    <col min="11806" max="12032" width="8.85546875" style="227"/>
    <col min="12033" max="12033" width="24.85546875" style="227" customWidth="1"/>
    <col min="12034" max="12042" width="15" style="227" bestFit="1" customWidth="1"/>
    <col min="12043" max="12043" width="17.28515625" style="227" bestFit="1" customWidth="1"/>
    <col min="12044" max="12046" width="15" style="227" bestFit="1" customWidth="1"/>
    <col min="12047" max="12047" width="16.5703125" style="227" bestFit="1" customWidth="1"/>
    <col min="12048" max="12059" width="22.140625" style="227" bestFit="1" customWidth="1"/>
    <col min="12060" max="12060" width="20.85546875" style="227" bestFit="1" customWidth="1"/>
    <col min="12061" max="12061" width="26.85546875" style="227" bestFit="1" customWidth="1"/>
    <col min="12062" max="12288" width="8.85546875" style="227"/>
    <col min="12289" max="12289" width="24.85546875" style="227" customWidth="1"/>
    <col min="12290" max="12298" width="15" style="227" bestFit="1" customWidth="1"/>
    <col min="12299" max="12299" width="17.28515625" style="227" bestFit="1" customWidth="1"/>
    <col min="12300" max="12302" width="15" style="227" bestFit="1" customWidth="1"/>
    <col min="12303" max="12303" width="16.5703125" style="227" bestFit="1" customWidth="1"/>
    <col min="12304" max="12315" width="22.140625" style="227" bestFit="1" customWidth="1"/>
    <col min="12316" max="12316" width="20.85546875" style="227" bestFit="1" customWidth="1"/>
    <col min="12317" max="12317" width="26.85546875" style="227" bestFit="1" customWidth="1"/>
    <col min="12318" max="12544" width="8.85546875" style="227"/>
    <col min="12545" max="12545" width="24.85546875" style="227" customWidth="1"/>
    <col min="12546" max="12554" width="15" style="227" bestFit="1" customWidth="1"/>
    <col min="12555" max="12555" width="17.28515625" style="227" bestFit="1" customWidth="1"/>
    <col min="12556" max="12558" width="15" style="227" bestFit="1" customWidth="1"/>
    <col min="12559" max="12559" width="16.5703125" style="227" bestFit="1" customWidth="1"/>
    <col min="12560" max="12571" width="22.140625" style="227" bestFit="1" customWidth="1"/>
    <col min="12572" max="12572" width="20.85546875" style="227" bestFit="1" customWidth="1"/>
    <col min="12573" max="12573" width="26.85546875" style="227" bestFit="1" customWidth="1"/>
    <col min="12574" max="12800" width="8.85546875" style="227"/>
    <col min="12801" max="12801" width="24.85546875" style="227" customWidth="1"/>
    <col min="12802" max="12810" width="15" style="227" bestFit="1" customWidth="1"/>
    <col min="12811" max="12811" width="17.28515625" style="227" bestFit="1" customWidth="1"/>
    <col min="12812" max="12814" width="15" style="227" bestFit="1" customWidth="1"/>
    <col min="12815" max="12815" width="16.5703125" style="227" bestFit="1" customWidth="1"/>
    <col min="12816" max="12827" width="22.140625" style="227" bestFit="1" customWidth="1"/>
    <col min="12828" max="12828" width="20.85546875" style="227" bestFit="1" customWidth="1"/>
    <col min="12829" max="12829" width="26.85546875" style="227" bestFit="1" customWidth="1"/>
    <col min="12830" max="13056" width="8.85546875" style="227"/>
    <col min="13057" max="13057" width="24.85546875" style="227" customWidth="1"/>
    <col min="13058" max="13066" width="15" style="227" bestFit="1" customWidth="1"/>
    <col min="13067" max="13067" width="17.28515625" style="227" bestFit="1" customWidth="1"/>
    <col min="13068" max="13070" width="15" style="227" bestFit="1" customWidth="1"/>
    <col min="13071" max="13071" width="16.5703125" style="227" bestFit="1" customWidth="1"/>
    <col min="13072" max="13083" width="22.140625" style="227" bestFit="1" customWidth="1"/>
    <col min="13084" max="13084" width="20.85546875" style="227" bestFit="1" customWidth="1"/>
    <col min="13085" max="13085" width="26.85546875" style="227" bestFit="1" customWidth="1"/>
    <col min="13086" max="13312" width="8.85546875" style="227"/>
    <col min="13313" max="13313" width="24.85546875" style="227" customWidth="1"/>
    <col min="13314" max="13322" width="15" style="227" bestFit="1" customWidth="1"/>
    <col min="13323" max="13323" width="17.28515625" style="227" bestFit="1" customWidth="1"/>
    <col min="13324" max="13326" width="15" style="227" bestFit="1" customWidth="1"/>
    <col min="13327" max="13327" width="16.5703125" style="227" bestFit="1" customWidth="1"/>
    <col min="13328" max="13339" width="22.140625" style="227" bestFit="1" customWidth="1"/>
    <col min="13340" max="13340" width="20.85546875" style="227" bestFit="1" customWidth="1"/>
    <col min="13341" max="13341" width="26.85546875" style="227" bestFit="1" customWidth="1"/>
    <col min="13342" max="13568" width="8.85546875" style="227"/>
    <col min="13569" max="13569" width="24.85546875" style="227" customWidth="1"/>
    <col min="13570" max="13578" width="15" style="227" bestFit="1" customWidth="1"/>
    <col min="13579" max="13579" width="17.28515625" style="227" bestFit="1" customWidth="1"/>
    <col min="13580" max="13582" width="15" style="227" bestFit="1" customWidth="1"/>
    <col min="13583" max="13583" width="16.5703125" style="227" bestFit="1" customWidth="1"/>
    <col min="13584" max="13595" width="22.140625" style="227" bestFit="1" customWidth="1"/>
    <col min="13596" max="13596" width="20.85546875" style="227" bestFit="1" customWidth="1"/>
    <col min="13597" max="13597" width="26.85546875" style="227" bestFit="1" customWidth="1"/>
    <col min="13598" max="13824" width="8.85546875" style="227"/>
    <col min="13825" max="13825" width="24.85546875" style="227" customWidth="1"/>
    <col min="13826" max="13834" width="15" style="227" bestFit="1" customWidth="1"/>
    <col min="13835" max="13835" width="17.28515625" style="227" bestFit="1" customWidth="1"/>
    <col min="13836" max="13838" width="15" style="227" bestFit="1" customWidth="1"/>
    <col min="13839" max="13839" width="16.5703125" style="227" bestFit="1" customWidth="1"/>
    <col min="13840" max="13851" width="22.140625" style="227" bestFit="1" customWidth="1"/>
    <col min="13852" max="13852" width="20.85546875" style="227" bestFit="1" customWidth="1"/>
    <col min="13853" max="13853" width="26.85546875" style="227" bestFit="1" customWidth="1"/>
    <col min="13854" max="14080" width="8.85546875" style="227"/>
    <col min="14081" max="14081" width="24.85546875" style="227" customWidth="1"/>
    <col min="14082" max="14090" width="15" style="227" bestFit="1" customWidth="1"/>
    <col min="14091" max="14091" width="17.28515625" style="227" bestFit="1" customWidth="1"/>
    <col min="14092" max="14094" width="15" style="227" bestFit="1" customWidth="1"/>
    <col min="14095" max="14095" width="16.5703125" style="227" bestFit="1" customWidth="1"/>
    <col min="14096" max="14107" width="22.140625" style="227" bestFit="1" customWidth="1"/>
    <col min="14108" max="14108" width="20.85546875" style="227" bestFit="1" customWidth="1"/>
    <col min="14109" max="14109" width="26.85546875" style="227" bestFit="1" customWidth="1"/>
    <col min="14110" max="14336" width="8.85546875" style="227"/>
    <col min="14337" max="14337" width="24.85546875" style="227" customWidth="1"/>
    <col min="14338" max="14346" width="15" style="227" bestFit="1" customWidth="1"/>
    <col min="14347" max="14347" width="17.28515625" style="227" bestFit="1" customWidth="1"/>
    <col min="14348" max="14350" width="15" style="227" bestFit="1" customWidth="1"/>
    <col min="14351" max="14351" width="16.5703125" style="227" bestFit="1" customWidth="1"/>
    <col min="14352" max="14363" width="22.140625" style="227" bestFit="1" customWidth="1"/>
    <col min="14364" max="14364" width="20.85546875" style="227" bestFit="1" customWidth="1"/>
    <col min="14365" max="14365" width="26.85546875" style="227" bestFit="1" customWidth="1"/>
    <col min="14366" max="14592" width="8.85546875" style="227"/>
    <col min="14593" max="14593" width="24.85546875" style="227" customWidth="1"/>
    <col min="14594" max="14602" width="15" style="227" bestFit="1" customWidth="1"/>
    <col min="14603" max="14603" width="17.28515625" style="227" bestFit="1" customWidth="1"/>
    <col min="14604" max="14606" width="15" style="227" bestFit="1" customWidth="1"/>
    <col min="14607" max="14607" width="16.5703125" style="227" bestFit="1" customWidth="1"/>
    <col min="14608" max="14619" width="22.140625" style="227" bestFit="1" customWidth="1"/>
    <col min="14620" max="14620" width="20.85546875" style="227" bestFit="1" customWidth="1"/>
    <col min="14621" max="14621" width="26.85546875" style="227" bestFit="1" customWidth="1"/>
    <col min="14622" max="14848" width="8.85546875" style="227"/>
    <col min="14849" max="14849" width="24.85546875" style="227" customWidth="1"/>
    <col min="14850" max="14858" width="15" style="227" bestFit="1" customWidth="1"/>
    <col min="14859" max="14859" width="17.28515625" style="227" bestFit="1" customWidth="1"/>
    <col min="14860" max="14862" width="15" style="227" bestFit="1" customWidth="1"/>
    <col min="14863" max="14863" width="16.5703125" style="227" bestFit="1" customWidth="1"/>
    <col min="14864" max="14875" width="22.140625" style="227" bestFit="1" customWidth="1"/>
    <col min="14876" max="14876" width="20.85546875" style="227" bestFit="1" customWidth="1"/>
    <col min="14877" max="14877" width="26.85546875" style="227" bestFit="1" customWidth="1"/>
    <col min="14878" max="15104" width="8.85546875" style="227"/>
    <col min="15105" max="15105" width="24.85546875" style="227" customWidth="1"/>
    <col min="15106" max="15114" width="15" style="227" bestFit="1" customWidth="1"/>
    <col min="15115" max="15115" width="17.28515625" style="227" bestFit="1" customWidth="1"/>
    <col min="15116" max="15118" width="15" style="227" bestFit="1" customWidth="1"/>
    <col min="15119" max="15119" width="16.5703125" style="227" bestFit="1" customWidth="1"/>
    <col min="15120" max="15131" width="22.140625" style="227" bestFit="1" customWidth="1"/>
    <col min="15132" max="15132" width="20.85546875" style="227" bestFit="1" customWidth="1"/>
    <col min="15133" max="15133" width="26.85546875" style="227" bestFit="1" customWidth="1"/>
    <col min="15134" max="15360" width="8.85546875" style="227"/>
    <col min="15361" max="15361" width="24.85546875" style="227" customWidth="1"/>
    <col min="15362" max="15370" width="15" style="227" bestFit="1" customWidth="1"/>
    <col min="15371" max="15371" width="17.28515625" style="227" bestFit="1" customWidth="1"/>
    <col min="15372" max="15374" width="15" style="227" bestFit="1" customWidth="1"/>
    <col min="15375" max="15375" width="16.5703125" style="227" bestFit="1" customWidth="1"/>
    <col min="15376" max="15387" width="22.140625" style="227" bestFit="1" customWidth="1"/>
    <col min="15388" max="15388" width="20.85546875" style="227" bestFit="1" customWidth="1"/>
    <col min="15389" max="15389" width="26.85546875" style="227" bestFit="1" customWidth="1"/>
    <col min="15390" max="15616" width="8.85546875" style="227"/>
    <col min="15617" max="15617" width="24.85546875" style="227" customWidth="1"/>
    <col min="15618" max="15626" width="15" style="227" bestFit="1" customWidth="1"/>
    <col min="15627" max="15627" width="17.28515625" style="227" bestFit="1" customWidth="1"/>
    <col min="15628" max="15630" width="15" style="227" bestFit="1" customWidth="1"/>
    <col min="15631" max="15631" width="16.5703125" style="227" bestFit="1" customWidth="1"/>
    <col min="15632" max="15643" width="22.140625" style="227" bestFit="1" customWidth="1"/>
    <col min="15644" max="15644" width="20.85546875" style="227" bestFit="1" customWidth="1"/>
    <col min="15645" max="15645" width="26.85546875" style="227" bestFit="1" customWidth="1"/>
    <col min="15646" max="15872" width="8.85546875" style="227"/>
    <col min="15873" max="15873" width="24.85546875" style="227" customWidth="1"/>
    <col min="15874" max="15882" width="15" style="227" bestFit="1" customWidth="1"/>
    <col min="15883" max="15883" width="17.28515625" style="227" bestFit="1" customWidth="1"/>
    <col min="15884" max="15886" width="15" style="227" bestFit="1" customWidth="1"/>
    <col min="15887" max="15887" width="16.5703125" style="227" bestFit="1" customWidth="1"/>
    <col min="15888" max="15899" width="22.140625" style="227" bestFit="1" customWidth="1"/>
    <col min="15900" max="15900" width="20.85546875" style="227" bestFit="1" customWidth="1"/>
    <col min="15901" max="15901" width="26.85546875" style="227" bestFit="1" customWidth="1"/>
    <col min="15902" max="16128" width="8.85546875" style="227"/>
    <col min="16129" max="16129" width="24.85546875" style="227" customWidth="1"/>
    <col min="16130" max="16138" width="15" style="227" bestFit="1" customWidth="1"/>
    <col min="16139" max="16139" width="17.28515625" style="227" bestFit="1" customWidth="1"/>
    <col min="16140" max="16142" width="15" style="227" bestFit="1" customWidth="1"/>
    <col min="16143" max="16143" width="16.5703125" style="227" bestFit="1" customWidth="1"/>
    <col min="16144" max="16155" width="22.140625" style="227" bestFit="1" customWidth="1"/>
    <col min="16156" max="16156" width="20.85546875" style="227" bestFit="1" customWidth="1"/>
    <col min="16157" max="16157" width="26.85546875" style="227" bestFit="1" customWidth="1"/>
    <col min="16158" max="16384" width="8.85546875" style="227"/>
  </cols>
  <sheetData>
    <row r="1" spans="1:18" ht="15">
      <c r="A1" s="1" t="s">
        <v>0</v>
      </c>
      <c r="C1"/>
    </row>
    <row r="2" spans="1:18" ht="15">
      <c r="A2" s="1" t="s">
        <v>484</v>
      </c>
    </row>
    <row r="3" spans="1:18" ht="15">
      <c r="A3" s="1"/>
    </row>
    <row r="4" spans="1:18" ht="15">
      <c r="A4" s="1"/>
    </row>
    <row r="5" spans="1:18" ht="15">
      <c r="A5" s="1"/>
      <c r="B5" s="227" t="s">
        <v>869</v>
      </c>
    </row>
    <row r="6" spans="1:18" ht="15">
      <c r="A6" s="1"/>
      <c r="B6" s="227" t="s">
        <v>870</v>
      </c>
    </row>
    <row r="7" spans="1:18" ht="15">
      <c r="A7" s="1"/>
      <c r="B7" s="227" t="s">
        <v>751</v>
      </c>
    </row>
    <row r="8" spans="1:18" ht="15">
      <c r="A8" s="1"/>
    </row>
    <row r="9" spans="1:18" ht="15">
      <c r="A9" s="1"/>
      <c r="B9" s="227" t="s">
        <v>871</v>
      </c>
    </row>
    <row r="10" spans="1:18" ht="15.75" thickBot="1">
      <c r="A10" s="1"/>
    </row>
    <row r="11" spans="1:18" ht="15">
      <c r="A11" s="1"/>
      <c r="B11" s="243"/>
      <c r="C11" s="229"/>
      <c r="D11" s="229"/>
      <c r="E11" s="229"/>
      <c r="F11" s="229"/>
      <c r="G11" s="229"/>
      <c r="H11" s="229"/>
      <c r="I11" s="229"/>
      <c r="J11" s="229"/>
      <c r="K11" s="229"/>
      <c r="L11" s="229"/>
      <c r="M11" s="229"/>
      <c r="N11" s="229"/>
      <c r="O11" s="229"/>
      <c r="P11" s="229"/>
      <c r="Q11" s="229"/>
      <c r="R11" s="230"/>
    </row>
    <row r="12" spans="1:18" ht="15">
      <c r="A12" s="1"/>
      <c r="B12" s="239" t="s">
        <v>730</v>
      </c>
      <c r="C12" s="310"/>
      <c r="R12" s="231"/>
    </row>
    <row r="13" spans="1:18" ht="15">
      <c r="A13" s="1"/>
      <c r="B13" s="232"/>
      <c r="C13" s="244">
        <v>45261</v>
      </c>
      <c r="D13" s="244">
        <v>45292</v>
      </c>
      <c r="E13" s="244">
        <v>45323</v>
      </c>
      <c r="F13" s="244">
        <v>45352</v>
      </c>
      <c r="G13" s="244">
        <v>45383</v>
      </c>
      <c r="H13" s="244">
        <v>45413</v>
      </c>
      <c r="I13" s="244">
        <v>45444</v>
      </c>
      <c r="J13" s="244">
        <v>45474</v>
      </c>
      <c r="K13" s="244">
        <v>45505</v>
      </c>
      <c r="L13" s="244">
        <v>45536</v>
      </c>
      <c r="M13" s="244">
        <v>45566</v>
      </c>
      <c r="N13" s="244">
        <v>45597</v>
      </c>
      <c r="O13" s="244">
        <v>45627</v>
      </c>
      <c r="P13" s="244" t="s">
        <v>726</v>
      </c>
      <c r="R13" s="231"/>
    </row>
    <row r="14" spans="1:18">
      <c r="B14" s="232" t="s">
        <v>727</v>
      </c>
      <c r="C14" s="240">
        <v>39184455.369999997</v>
      </c>
      <c r="D14" s="240">
        <v>39184455.369999997</v>
      </c>
      <c r="E14" s="240">
        <v>39184455.369999997</v>
      </c>
      <c r="F14" s="240">
        <v>39184455.369999997</v>
      </c>
      <c r="G14" s="240">
        <v>39184455.369999997</v>
      </c>
      <c r="H14" s="240">
        <v>39184455.369999997</v>
      </c>
      <c r="I14" s="240">
        <v>39184455.369999997</v>
      </c>
      <c r="J14" s="240">
        <v>39184455.369999997</v>
      </c>
      <c r="K14" s="240">
        <v>39184455.369999997</v>
      </c>
      <c r="L14" s="240">
        <v>39184455.369999997</v>
      </c>
      <c r="M14" s="240">
        <v>39184455.369999997</v>
      </c>
      <c r="N14" s="240">
        <v>39184455.369999997</v>
      </c>
      <c r="O14" s="240">
        <v>39184455.369999997</v>
      </c>
      <c r="P14" s="241"/>
      <c r="R14" s="231"/>
    </row>
    <row r="15" spans="1:18">
      <c r="B15" s="232" t="s">
        <v>750</v>
      </c>
      <c r="C15" s="240">
        <v>327983103.12</v>
      </c>
      <c r="D15" s="240">
        <v>331567014.75</v>
      </c>
      <c r="E15" s="240">
        <v>336992528.33999991</v>
      </c>
      <c r="F15" s="240">
        <v>337312361.34999996</v>
      </c>
      <c r="G15" s="240">
        <v>337761928.91999996</v>
      </c>
      <c r="H15" s="240">
        <v>341329048.81999999</v>
      </c>
      <c r="I15" s="240">
        <v>336449487.78999996</v>
      </c>
      <c r="J15" s="240">
        <v>336911619.01999992</v>
      </c>
      <c r="K15" s="240">
        <v>347134484.13999999</v>
      </c>
      <c r="L15" s="240">
        <v>348424351.56</v>
      </c>
      <c r="M15" s="240">
        <v>329196506.18000001</v>
      </c>
      <c r="N15" s="240">
        <v>332362728.89000005</v>
      </c>
      <c r="O15" s="240">
        <v>271747469.43000001</v>
      </c>
      <c r="P15" s="241"/>
      <c r="R15" s="231"/>
    </row>
    <row r="16" spans="1:18" ht="15">
      <c r="B16" s="232" t="s">
        <v>1452</v>
      </c>
      <c r="C16" s="295"/>
      <c r="D16" s="295"/>
      <c r="E16" s="295"/>
      <c r="F16" s="295"/>
      <c r="G16" s="295"/>
      <c r="H16" s="295"/>
      <c r="I16" s="295"/>
      <c r="J16" s="295"/>
      <c r="K16" s="295"/>
      <c r="L16" s="295"/>
      <c r="M16" s="295"/>
      <c r="N16" s="295"/>
      <c r="O16" s="295"/>
      <c r="P16" s="241"/>
      <c r="R16" s="231"/>
    </row>
    <row r="17" spans="1:18">
      <c r="B17" s="232" t="s">
        <v>725</v>
      </c>
      <c r="C17" s="309">
        <f>+C14+C15+C16</f>
        <v>367167558.49000001</v>
      </c>
      <c r="D17" s="309">
        <f>+D14+D15+D16</f>
        <v>370751470.12</v>
      </c>
      <c r="E17" s="309">
        <f t="shared" ref="E17:N17" si="0">+E14+E15+D16</f>
        <v>376176983.70999992</v>
      </c>
      <c r="F17" s="309">
        <f t="shared" si="0"/>
        <v>376496816.71999997</v>
      </c>
      <c r="G17" s="309">
        <f t="shared" si="0"/>
        <v>376946384.28999996</v>
      </c>
      <c r="H17" s="309">
        <f t="shared" si="0"/>
        <v>380513504.19</v>
      </c>
      <c r="I17" s="309">
        <f t="shared" si="0"/>
        <v>375633943.15999997</v>
      </c>
      <c r="J17" s="309">
        <f t="shared" si="0"/>
        <v>376096074.38999993</v>
      </c>
      <c r="K17" s="309">
        <f t="shared" si="0"/>
        <v>386318939.50999999</v>
      </c>
      <c r="L17" s="309">
        <f t="shared" si="0"/>
        <v>387608806.93000001</v>
      </c>
      <c r="M17" s="309">
        <f t="shared" si="0"/>
        <v>368380961.55000001</v>
      </c>
      <c r="N17" s="309">
        <f t="shared" si="0"/>
        <v>371547184.26000005</v>
      </c>
      <c r="O17" s="309">
        <f>+O14+O15+O16</f>
        <v>310931924.80000001</v>
      </c>
      <c r="P17" s="241">
        <f>AVERAGE(C17:O17)</f>
        <v>371120811.70153844</v>
      </c>
      <c r="R17" s="231"/>
    </row>
    <row r="18" spans="1:18" ht="15">
      <c r="A18" s="1"/>
      <c r="B18" s="232"/>
      <c r="R18" s="231"/>
    </row>
    <row r="19" spans="1:18" ht="15">
      <c r="A19" s="1"/>
      <c r="B19" s="239" t="s">
        <v>731</v>
      </c>
      <c r="R19" s="231"/>
    </row>
    <row r="20" spans="1:18" ht="15">
      <c r="A20" s="1"/>
      <c r="B20" s="232"/>
      <c r="C20" s="244">
        <f>C13</f>
        <v>45261</v>
      </c>
      <c r="D20" s="244">
        <f t="shared" ref="D20:O20" si="1">D13</f>
        <v>45292</v>
      </c>
      <c r="E20" s="244">
        <f t="shared" si="1"/>
        <v>45323</v>
      </c>
      <c r="F20" s="244">
        <f t="shared" si="1"/>
        <v>45352</v>
      </c>
      <c r="G20" s="244">
        <f t="shared" si="1"/>
        <v>45383</v>
      </c>
      <c r="H20" s="244">
        <f t="shared" si="1"/>
        <v>45413</v>
      </c>
      <c r="I20" s="244">
        <f t="shared" si="1"/>
        <v>45444</v>
      </c>
      <c r="J20" s="244">
        <f t="shared" si="1"/>
        <v>45474</v>
      </c>
      <c r="K20" s="244">
        <f t="shared" si="1"/>
        <v>45505</v>
      </c>
      <c r="L20" s="244">
        <f t="shared" si="1"/>
        <v>45536</v>
      </c>
      <c r="M20" s="244">
        <f t="shared" si="1"/>
        <v>45566</v>
      </c>
      <c r="N20" s="244">
        <f t="shared" si="1"/>
        <v>45597</v>
      </c>
      <c r="O20" s="244">
        <f t="shared" si="1"/>
        <v>45627</v>
      </c>
      <c r="P20" s="244" t="s">
        <v>726</v>
      </c>
      <c r="R20" s="231"/>
    </row>
    <row r="21" spans="1:18" ht="15">
      <c r="A21" s="1"/>
      <c r="B21" s="232" t="s">
        <v>727</v>
      </c>
      <c r="C21" s="240">
        <v>18812671.469999999</v>
      </c>
      <c r="D21" s="240">
        <v>18882726.329999998</v>
      </c>
      <c r="E21" s="240">
        <v>18953828.189999998</v>
      </c>
      <c r="F21" s="240">
        <v>19022579.350000001</v>
      </c>
      <c r="G21" s="240">
        <v>19092634.439999998</v>
      </c>
      <c r="H21" s="240">
        <v>19162689.460000001</v>
      </c>
      <c r="I21" s="240">
        <v>19232744.16</v>
      </c>
      <c r="J21" s="240">
        <v>19302799.300000001</v>
      </c>
      <c r="K21" s="240">
        <v>19372854.039999995</v>
      </c>
      <c r="L21" s="240">
        <v>19442909.060000002</v>
      </c>
      <c r="M21" s="240">
        <v>19512963.950000003</v>
      </c>
      <c r="N21" s="240">
        <v>19583018.880000003</v>
      </c>
      <c r="O21" s="240">
        <v>19649914.100000001</v>
      </c>
      <c r="P21" s="241"/>
      <c r="R21" s="231"/>
    </row>
    <row r="22" spans="1:18" ht="16.5">
      <c r="A22" s="1"/>
      <c r="B22" s="232" t="s">
        <v>745</v>
      </c>
      <c r="C22" s="295">
        <v>186993073.32999998</v>
      </c>
      <c r="D22" s="295">
        <v>190660227.44</v>
      </c>
      <c r="E22" s="295">
        <v>194303901.71000001</v>
      </c>
      <c r="F22" s="295">
        <v>197879139.08000001</v>
      </c>
      <c r="G22" s="295">
        <v>201386140.79000002</v>
      </c>
      <c r="H22" s="295">
        <v>-371884.41000000003</v>
      </c>
      <c r="I22" s="295">
        <v>203005648.38</v>
      </c>
      <c r="J22" s="295">
        <v>206615479.16</v>
      </c>
      <c r="K22" s="295">
        <v>210469205.59000003</v>
      </c>
      <c r="L22" s="295">
        <v>214200749.38000003</v>
      </c>
      <c r="M22" s="295">
        <v>197916514.11000001</v>
      </c>
      <c r="N22" s="295">
        <v>201674459.30000001</v>
      </c>
      <c r="O22" s="295">
        <v>130425634.78999999</v>
      </c>
      <c r="P22" s="241"/>
      <c r="R22" s="231"/>
    </row>
    <row r="23" spans="1:18" ht="15">
      <c r="A23" s="1"/>
      <c r="B23" s="232" t="s">
        <v>728</v>
      </c>
      <c r="C23" s="241">
        <f t="shared" ref="C23:O23" si="2">+C21+C22</f>
        <v>205805744.79999998</v>
      </c>
      <c r="D23" s="241">
        <f t="shared" si="2"/>
        <v>209542953.76999998</v>
      </c>
      <c r="E23" s="241">
        <f t="shared" si="2"/>
        <v>213257729.90000001</v>
      </c>
      <c r="F23" s="241">
        <f t="shared" si="2"/>
        <v>216901718.43000001</v>
      </c>
      <c r="G23" s="241">
        <f t="shared" si="2"/>
        <v>220478775.23000002</v>
      </c>
      <c r="H23" s="241">
        <f t="shared" si="2"/>
        <v>18790805.050000001</v>
      </c>
      <c r="I23" s="241">
        <f t="shared" si="2"/>
        <v>222238392.53999999</v>
      </c>
      <c r="J23" s="241">
        <f t="shared" si="2"/>
        <v>225918278.46000001</v>
      </c>
      <c r="K23" s="241">
        <f t="shared" si="2"/>
        <v>229842059.63000003</v>
      </c>
      <c r="L23" s="241">
        <f t="shared" si="2"/>
        <v>233643658.44000003</v>
      </c>
      <c r="M23" s="241">
        <f t="shared" si="2"/>
        <v>217429478.06</v>
      </c>
      <c r="N23" s="241">
        <f t="shared" si="2"/>
        <v>221257478.18000001</v>
      </c>
      <c r="O23" s="241">
        <f t="shared" si="2"/>
        <v>150075548.88999999</v>
      </c>
      <c r="P23" s="241">
        <f>AVERAGE(C23:O23)</f>
        <v>198860201.64461535</v>
      </c>
      <c r="R23" s="231"/>
    </row>
    <row r="24" spans="1:18" ht="15">
      <c r="A24" s="1"/>
      <c r="B24" s="232"/>
      <c r="C24" s="241"/>
      <c r="D24" s="241"/>
      <c r="E24" s="241"/>
      <c r="F24" s="241"/>
      <c r="G24" s="241"/>
      <c r="H24" s="241"/>
      <c r="I24" s="241"/>
      <c r="J24" s="241"/>
      <c r="K24" s="241"/>
      <c r="L24" s="241"/>
      <c r="M24" s="241"/>
      <c r="N24" s="241"/>
      <c r="O24" s="241"/>
      <c r="P24" s="241"/>
      <c r="R24" s="231"/>
    </row>
    <row r="25" spans="1:18" ht="15">
      <c r="A25" s="1"/>
      <c r="B25" s="232"/>
      <c r="C25" s="241"/>
      <c r="D25" s="241"/>
      <c r="E25" s="241"/>
      <c r="F25" s="241"/>
      <c r="G25" s="241"/>
      <c r="H25" s="241"/>
      <c r="I25" s="241"/>
      <c r="J25" s="241"/>
      <c r="K25" s="241"/>
      <c r="L25" s="241"/>
      <c r="M25" s="241"/>
      <c r="N25" s="241"/>
      <c r="O25" s="241"/>
      <c r="P25" s="241"/>
      <c r="R25" s="231"/>
    </row>
    <row r="26" spans="1:18" ht="15">
      <c r="A26" s="1"/>
      <c r="B26" s="239" t="s">
        <v>729</v>
      </c>
      <c r="C26" s="241"/>
      <c r="D26" s="241"/>
      <c r="E26" s="241"/>
      <c r="F26" s="241"/>
      <c r="G26" s="241"/>
      <c r="H26" s="241"/>
      <c r="I26" s="241"/>
      <c r="J26" s="241"/>
      <c r="K26" s="241"/>
      <c r="L26" s="241"/>
      <c r="M26" s="241"/>
      <c r="N26" s="241"/>
      <c r="O26" s="241"/>
      <c r="P26" s="241"/>
      <c r="R26" s="231"/>
    </row>
    <row r="27" spans="1:18" ht="15">
      <c r="A27" s="1"/>
      <c r="B27" s="232"/>
      <c r="C27" s="309"/>
      <c r="D27" s="241"/>
      <c r="E27" s="241"/>
      <c r="F27" s="241"/>
      <c r="G27" s="241"/>
      <c r="H27" s="241"/>
      <c r="I27" s="241"/>
      <c r="J27" s="241"/>
      <c r="K27" s="241"/>
      <c r="L27" s="241"/>
      <c r="M27" s="241"/>
      <c r="N27" s="241"/>
      <c r="O27" s="241"/>
      <c r="P27" s="241"/>
      <c r="R27" s="231"/>
    </row>
    <row r="28" spans="1:18" ht="15">
      <c r="A28" s="1"/>
      <c r="B28" s="232"/>
      <c r="C28" s="244">
        <f>C13</f>
        <v>45261</v>
      </c>
      <c r="D28" s="244">
        <f t="shared" ref="D28:O28" si="3">D13</f>
        <v>45292</v>
      </c>
      <c r="E28" s="244">
        <f t="shared" si="3"/>
        <v>45323</v>
      </c>
      <c r="F28" s="244">
        <f t="shared" si="3"/>
        <v>45352</v>
      </c>
      <c r="G28" s="244">
        <f t="shared" si="3"/>
        <v>45383</v>
      </c>
      <c r="H28" s="244">
        <f t="shared" si="3"/>
        <v>45413</v>
      </c>
      <c r="I28" s="244">
        <f t="shared" si="3"/>
        <v>45444</v>
      </c>
      <c r="J28" s="244">
        <f t="shared" si="3"/>
        <v>45474</v>
      </c>
      <c r="K28" s="244">
        <f t="shared" si="3"/>
        <v>45505</v>
      </c>
      <c r="L28" s="244">
        <f t="shared" si="3"/>
        <v>45536</v>
      </c>
      <c r="M28" s="244">
        <f t="shared" si="3"/>
        <v>45566</v>
      </c>
      <c r="N28" s="244">
        <f t="shared" si="3"/>
        <v>45597</v>
      </c>
      <c r="O28" s="244">
        <f t="shared" si="3"/>
        <v>45627</v>
      </c>
      <c r="P28" s="244" t="s">
        <v>726</v>
      </c>
      <c r="R28" s="231"/>
    </row>
    <row r="29" spans="1:18" ht="15">
      <c r="A29" s="1"/>
      <c r="B29" s="232" t="s">
        <v>733</v>
      </c>
      <c r="C29" s="240">
        <v>34785057.160720997</v>
      </c>
      <c r="D29" s="240">
        <v>34146336.107905999</v>
      </c>
      <c r="E29" s="240">
        <v>34686566.547473997</v>
      </c>
      <c r="F29" s="240">
        <v>34709879.616313003</v>
      </c>
      <c r="G29" s="240">
        <v>34736848.307552002</v>
      </c>
      <c r="H29" s="240">
        <v>34972275.689041995</v>
      </c>
      <c r="I29" s="240">
        <v>34367913.990865</v>
      </c>
      <c r="J29" s="240">
        <v>34432147.490399994</v>
      </c>
      <c r="K29" s="240">
        <v>35319642.313415997</v>
      </c>
      <c r="L29" s="240">
        <v>35466937.076323003</v>
      </c>
      <c r="M29" s="240">
        <v>34260405.697379008</v>
      </c>
      <c r="N29" s="240">
        <v>34492718.908769004</v>
      </c>
      <c r="O29" s="240">
        <v>27951562.859165002</v>
      </c>
      <c r="P29" s="241">
        <f>AVERAGE(C29:O29)</f>
        <v>34179099.366563462</v>
      </c>
      <c r="Q29" s="227" t="s">
        <v>580</v>
      </c>
      <c r="R29" s="231"/>
    </row>
    <row r="30" spans="1:18" ht="15">
      <c r="A30" s="1"/>
      <c r="B30" s="232"/>
      <c r="C30" s="307"/>
      <c r="D30" s="307"/>
      <c r="E30" s="307"/>
      <c r="F30" s="307"/>
      <c r="G30" s="307"/>
      <c r="H30" s="307"/>
      <c r="I30" s="307"/>
      <c r="J30" s="307"/>
      <c r="K30" s="307"/>
      <c r="L30" s="307"/>
      <c r="M30" s="307"/>
      <c r="N30" s="307"/>
      <c r="O30" s="307"/>
      <c r="R30" s="231"/>
    </row>
    <row r="31" spans="1:18" ht="15">
      <c r="A31" s="1"/>
      <c r="B31" s="239" t="s">
        <v>732</v>
      </c>
      <c r="R31" s="231"/>
    </row>
    <row r="32" spans="1:18" ht="15">
      <c r="A32" s="1"/>
      <c r="B32" s="232"/>
      <c r="C32" s="244">
        <f>C13</f>
        <v>45261</v>
      </c>
      <c r="D32" s="244">
        <f t="shared" ref="D32:O32" si="4">D13</f>
        <v>45292</v>
      </c>
      <c r="E32" s="244">
        <f t="shared" si="4"/>
        <v>45323</v>
      </c>
      <c r="F32" s="244">
        <f t="shared" si="4"/>
        <v>45352</v>
      </c>
      <c r="G32" s="244">
        <f t="shared" si="4"/>
        <v>45383</v>
      </c>
      <c r="H32" s="244">
        <f t="shared" si="4"/>
        <v>45413</v>
      </c>
      <c r="I32" s="244">
        <f t="shared" si="4"/>
        <v>45444</v>
      </c>
      <c r="J32" s="244">
        <f t="shared" si="4"/>
        <v>45474</v>
      </c>
      <c r="K32" s="244">
        <f t="shared" si="4"/>
        <v>45505</v>
      </c>
      <c r="L32" s="244">
        <f t="shared" si="4"/>
        <v>45536</v>
      </c>
      <c r="M32" s="244">
        <f t="shared" si="4"/>
        <v>45566</v>
      </c>
      <c r="N32" s="244">
        <f t="shared" si="4"/>
        <v>45597</v>
      </c>
      <c r="O32" s="244">
        <f t="shared" si="4"/>
        <v>45627</v>
      </c>
      <c r="P32" s="244" t="s">
        <v>726</v>
      </c>
      <c r="R32" s="231"/>
    </row>
    <row r="33" spans="1:18" ht="15">
      <c r="A33" s="1"/>
      <c r="B33" s="232" t="s">
        <v>734</v>
      </c>
      <c r="C33" s="240">
        <v>19944759.994896997</v>
      </c>
      <c r="D33" s="240">
        <v>19864746.539846003</v>
      </c>
      <c r="E33" s="240">
        <v>20295812.196054995</v>
      </c>
      <c r="F33" s="240">
        <v>20629590.148281001</v>
      </c>
      <c r="G33" s="240">
        <v>20958018.664123002</v>
      </c>
      <c r="H33" s="240">
        <v>21295962.997717999</v>
      </c>
      <c r="I33" s="240">
        <v>20898589.178106003</v>
      </c>
      <c r="J33" s="240">
        <v>21227644.494390998</v>
      </c>
      <c r="K33" s="240">
        <v>21572167.682263002</v>
      </c>
      <c r="L33" s="240">
        <v>21908149.264860999</v>
      </c>
      <c r="M33" s="240">
        <v>20968833.194731001</v>
      </c>
      <c r="N33" s="240">
        <v>21304279.172830001</v>
      </c>
      <c r="O33" s="240">
        <v>13468975.706419999</v>
      </c>
      <c r="P33" s="241">
        <f>AVERAGE(C33:O33)</f>
        <v>20333656.09496323</v>
      </c>
      <c r="Q33" s="227" t="s">
        <v>585</v>
      </c>
      <c r="R33" s="231"/>
    </row>
    <row r="34" spans="1:18" ht="15">
      <c r="A34" s="1"/>
      <c r="B34" s="232"/>
      <c r="C34" s="241"/>
      <c r="D34" s="241"/>
      <c r="E34" s="241"/>
      <c r="F34" s="241"/>
      <c r="G34" s="241"/>
      <c r="H34" s="241"/>
      <c r="I34" s="241"/>
      <c r="J34" s="241"/>
      <c r="K34" s="241"/>
      <c r="L34" s="241"/>
      <c r="M34" s="241"/>
      <c r="N34" s="241"/>
      <c r="O34" s="241"/>
      <c r="P34" s="241"/>
      <c r="R34" s="231"/>
    </row>
    <row r="35" spans="1:18" ht="15">
      <c r="A35" s="1"/>
      <c r="B35" s="232"/>
      <c r="C35" s="241"/>
      <c r="D35" s="241"/>
      <c r="E35" s="241"/>
      <c r="F35" s="241"/>
      <c r="G35" s="241"/>
      <c r="H35" s="241"/>
      <c r="I35" s="241"/>
      <c r="J35" s="241"/>
      <c r="K35" s="241"/>
      <c r="L35" s="241"/>
      <c r="M35" s="241"/>
      <c r="N35" s="241"/>
      <c r="O35" s="241"/>
      <c r="P35" s="241"/>
      <c r="R35" s="231"/>
    </row>
    <row r="36" spans="1:18" ht="15.75" thickBot="1">
      <c r="A36" s="1"/>
      <c r="B36" s="233"/>
      <c r="C36" s="245"/>
      <c r="D36" s="245"/>
      <c r="E36" s="245"/>
      <c r="F36" s="245"/>
      <c r="G36" s="245"/>
      <c r="H36" s="245"/>
      <c r="I36" s="245"/>
      <c r="J36" s="245"/>
      <c r="K36" s="245"/>
      <c r="L36" s="245"/>
      <c r="M36" s="245"/>
      <c r="N36" s="245"/>
      <c r="O36" s="245"/>
      <c r="P36" s="245"/>
      <c r="Q36" s="234"/>
      <c r="R36" s="235"/>
    </row>
    <row r="38" spans="1:18" ht="25.5">
      <c r="B38" s="74" t="s">
        <v>746</v>
      </c>
      <c r="C38" s="247" t="s">
        <v>742</v>
      </c>
      <c r="D38" s="458" t="s">
        <v>1451</v>
      </c>
      <c r="E38" s="458" t="s">
        <v>1557</v>
      </c>
    </row>
    <row r="39" spans="1:18">
      <c r="C39" s="460">
        <v>45261</v>
      </c>
      <c r="D39" s="459"/>
      <c r="E39" s="460">
        <f>C39</f>
        <v>45261</v>
      </c>
    </row>
    <row r="40" spans="1:18">
      <c r="B40" s="227" t="s">
        <v>735</v>
      </c>
      <c r="C40" s="279">
        <v>303009405</v>
      </c>
      <c r="D40" s="279"/>
      <c r="E40" s="246">
        <f>+SUM(C40:D40)</f>
        <v>303009405</v>
      </c>
    </row>
    <row r="41" spans="1:18">
      <c r="B41" s="227" t="s">
        <v>736</v>
      </c>
      <c r="C41" s="280">
        <v>24973698</v>
      </c>
      <c r="D41" s="280"/>
      <c r="E41" s="461">
        <f>+SUM(C41:D41)</f>
        <v>24973698</v>
      </c>
    </row>
    <row r="42" spans="1:18">
      <c r="B42" s="227" t="s">
        <v>737</v>
      </c>
      <c r="C42" s="246">
        <f>+C40+C41</f>
        <v>327983103</v>
      </c>
      <c r="D42" s="246">
        <f>+D40+D41</f>
        <v>0</v>
      </c>
      <c r="E42" s="246">
        <f>+E40+E41</f>
        <v>327983103</v>
      </c>
    </row>
    <row r="43" spans="1:18">
      <c r="B43" s="227" t="s">
        <v>738</v>
      </c>
      <c r="C43" s="280"/>
      <c r="D43" s="280"/>
      <c r="E43" s="246">
        <f>+SUM(C43:D43)</f>
        <v>0</v>
      </c>
    </row>
    <row r="44" spans="1:18" ht="13.5" thickBot="1">
      <c r="B44" s="227" t="s">
        <v>1826</v>
      </c>
      <c r="C44" s="294">
        <f>+C42-C43</f>
        <v>327983103</v>
      </c>
      <c r="D44" s="294">
        <f>+D42-D43</f>
        <v>0</v>
      </c>
      <c r="E44" s="294">
        <f>+E42-E43</f>
        <v>327983103</v>
      </c>
    </row>
    <row r="45" spans="1:18" ht="13.5" thickTop="1"/>
    <row r="46" spans="1:18">
      <c r="B46" s="74"/>
    </row>
    <row r="47" spans="1:18">
      <c r="C47" s="462">
        <v>45627</v>
      </c>
      <c r="D47" s="462"/>
      <c r="E47" s="462">
        <f>C47</f>
        <v>45627</v>
      </c>
    </row>
    <row r="48" spans="1:18">
      <c r="B48" s="227" t="s">
        <v>740</v>
      </c>
      <c r="C48" s="240">
        <v>246856794</v>
      </c>
      <c r="D48" s="240"/>
      <c r="E48" s="246">
        <f>+SUM(C48:D48)</f>
        <v>246856794</v>
      </c>
    </row>
    <row r="49" spans="2:11">
      <c r="B49" s="227" t="s">
        <v>741</v>
      </c>
      <c r="C49" s="280">
        <v>24890675</v>
      </c>
      <c r="D49" s="280"/>
      <c r="E49" s="461">
        <f>+SUM(C49:D49)</f>
        <v>24890675</v>
      </c>
      <c r="K49" s="269"/>
    </row>
    <row r="50" spans="2:11">
      <c r="B50" s="227" t="s">
        <v>737</v>
      </c>
      <c r="C50" s="246">
        <f>+C48+C49</f>
        <v>271747469</v>
      </c>
      <c r="D50" s="246">
        <f>+D48+D49</f>
        <v>0</v>
      </c>
      <c r="E50" s="246">
        <f>+E48+E49</f>
        <v>271747469</v>
      </c>
    </row>
    <row r="51" spans="2:11">
      <c r="B51" s="227" t="s">
        <v>738</v>
      </c>
      <c r="C51" s="280"/>
      <c r="D51" s="280"/>
      <c r="E51" s="246">
        <f>+SUM(C51:D51)</f>
        <v>0</v>
      </c>
    </row>
    <row r="52" spans="2:11" ht="13.5" thickBot="1">
      <c r="B52" s="227" t="s">
        <v>1827</v>
      </c>
      <c r="C52" s="294">
        <f>+C50-C51</f>
        <v>271747469</v>
      </c>
      <c r="D52" s="294">
        <f>+D50-D51</f>
        <v>0</v>
      </c>
      <c r="E52" s="294">
        <f>+E50-E51</f>
        <v>271747469</v>
      </c>
    </row>
    <row r="53" spans="2:11" ht="13.5" thickTop="1"/>
    <row r="55" spans="2:11">
      <c r="B55" s="74" t="s">
        <v>747</v>
      </c>
      <c r="C55" s="247" t="s">
        <v>94</v>
      </c>
      <c r="D55" s="247"/>
      <c r="E55" s="247" t="s">
        <v>94</v>
      </c>
    </row>
    <row r="56" spans="2:11">
      <c r="C56" s="462">
        <f>C39</f>
        <v>45261</v>
      </c>
      <c r="D56" s="462"/>
      <c r="E56" s="462">
        <f>C56</f>
        <v>45261</v>
      </c>
    </row>
    <row r="57" spans="2:11">
      <c r="B57" s="227" t="s">
        <v>743</v>
      </c>
      <c r="C57" s="279">
        <v>24852349</v>
      </c>
      <c r="D57" s="279"/>
      <c r="E57" s="246">
        <f>+SUM(C57:D57)</f>
        <v>24852349</v>
      </c>
    </row>
    <row r="58" spans="2:11">
      <c r="B58" s="227" t="s">
        <v>744</v>
      </c>
      <c r="C58" s="280">
        <v>162140724</v>
      </c>
      <c r="D58" s="280"/>
      <c r="E58" s="246">
        <f>+SUM(C58:D58)</f>
        <v>162140724</v>
      </c>
    </row>
    <row r="59" spans="2:11" ht="13.5" thickBot="1">
      <c r="B59" s="227" t="s">
        <v>1767</v>
      </c>
      <c r="C59" s="248">
        <f>+C57+C58</f>
        <v>186993073</v>
      </c>
      <c r="D59" s="294">
        <f>+D57+D58</f>
        <v>0</v>
      </c>
      <c r="E59" s="294">
        <f>+E57+E58</f>
        <v>186993073</v>
      </c>
    </row>
    <row r="60" spans="2:11" ht="13.5" thickTop="1"/>
    <row r="61" spans="2:11">
      <c r="B61" s="74" t="s">
        <v>739</v>
      </c>
    </row>
    <row r="62" spans="2:11">
      <c r="C62" s="462">
        <f>C47</f>
        <v>45627</v>
      </c>
      <c r="D62" s="462"/>
      <c r="E62" s="462">
        <f>C62</f>
        <v>45627</v>
      </c>
    </row>
    <row r="63" spans="2:11">
      <c r="B63" s="227" t="s">
        <v>748</v>
      </c>
      <c r="C63" s="240">
        <v>31883246</v>
      </c>
      <c r="D63" s="240"/>
      <c r="E63" s="246">
        <f>+SUM(C63:D63)</f>
        <v>31883246</v>
      </c>
    </row>
    <row r="64" spans="2:11">
      <c r="B64" s="227" t="s">
        <v>749</v>
      </c>
      <c r="C64" s="280">
        <v>98542389</v>
      </c>
      <c r="D64" s="280"/>
      <c r="E64" s="246">
        <f>+SUM(C64:D64)</f>
        <v>98542389</v>
      </c>
    </row>
    <row r="65" spans="2:5" ht="13.5" thickBot="1">
      <c r="B65" s="227" t="s">
        <v>1828</v>
      </c>
      <c r="C65" s="294">
        <f>+C63+C64</f>
        <v>130425635</v>
      </c>
      <c r="D65" s="294">
        <f>+D63+D64</f>
        <v>0</v>
      </c>
      <c r="E65" s="294">
        <f>+E63+E64</f>
        <v>130425635</v>
      </c>
    </row>
    <row r="66" spans="2:5" ht="13.5" thickTop="1"/>
    <row r="68" spans="2:5">
      <c r="D68" s="269"/>
    </row>
  </sheetData>
  <pageMargins left="0.34" right="0.28999999999999998" top="0.75" bottom="0.75" header="0.3" footer="0.3"/>
  <pageSetup scale="39" fitToHeight="0" orientation="landscape" r:id="rId1"/>
  <headerFooter>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254"/>
  <sheetViews>
    <sheetView workbookViewId="0">
      <selection activeCell="F14" sqref="F14"/>
    </sheetView>
  </sheetViews>
  <sheetFormatPr defaultColWidth="8.85546875" defaultRowHeight="15"/>
  <cols>
    <col min="1" max="1" width="4.85546875" customWidth="1"/>
    <col min="2" max="2" width="3.85546875" customWidth="1"/>
    <col min="3" max="3" width="20.85546875" customWidth="1"/>
    <col min="4" max="4" width="32.85546875" customWidth="1"/>
    <col min="6" max="6" width="19" style="3" customWidth="1"/>
    <col min="7" max="7" width="5.28515625" style="131" customWidth="1"/>
    <col min="8" max="8" width="23" style="3" customWidth="1"/>
    <col min="9" max="9" width="5.28515625" style="131" customWidth="1"/>
    <col min="10" max="10" width="16.28515625" style="131" customWidth="1"/>
    <col min="11" max="11" width="5.28515625" style="131" customWidth="1"/>
    <col min="12" max="12" width="25.42578125" style="131" customWidth="1"/>
    <col min="13" max="13" width="5.28515625" style="131" customWidth="1"/>
    <col min="14" max="14" width="19" style="3" customWidth="1"/>
    <col min="15" max="15" width="5.28515625" style="131" customWidth="1"/>
    <col min="16" max="16" width="19" style="3" customWidth="1"/>
    <col min="17" max="17" width="5.28515625" style="131" customWidth="1"/>
    <col min="18" max="18" width="19" style="3" customWidth="1"/>
    <col min="19" max="19" width="24.42578125" style="131" bestFit="1" customWidth="1"/>
    <col min="20" max="20" width="19" style="3" customWidth="1"/>
    <col min="21" max="21" width="17.7109375" customWidth="1"/>
    <col min="22" max="22" width="22.140625" bestFit="1" customWidth="1"/>
    <col min="23" max="23" width="9.7109375" bestFit="1" customWidth="1"/>
    <col min="24" max="24" width="27.7109375" customWidth="1"/>
    <col min="25" max="36" width="16.5703125" bestFit="1" customWidth="1"/>
  </cols>
  <sheetData>
    <row r="1" spans="1:36">
      <c r="A1" s="1" t="s">
        <v>0</v>
      </c>
    </row>
    <row r="2" spans="1:36">
      <c r="A2" s="1" t="s">
        <v>530</v>
      </c>
    </row>
    <row r="5" spans="1:36">
      <c r="B5" s="93" t="s">
        <v>661</v>
      </c>
      <c r="C5" t="s">
        <v>669</v>
      </c>
    </row>
    <row r="7" spans="1:36" ht="15.75" thickBot="1"/>
    <row r="8" spans="1:36">
      <c r="B8" s="5" t="s">
        <v>533</v>
      </c>
      <c r="C8" s="6"/>
      <c r="D8" s="6"/>
      <c r="E8" s="6"/>
      <c r="F8" s="7"/>
      <c r="G8" s="83"/>
      <c r="H8" s="7"/>
      <c r="I8" s="83"/>
      <c r="J8" s="83"/>
      <c r="K8" s="83"/>
      <c r="L8" s="83"/>
      <c r="M8" s="83"/>
      <c r="N8" s="7"/>
      <c r="O8" s="83"/>
      <c r="P8" s="7"/>
      <c r="Q8" s="83"/>
      <c r="R8" s="7"/>
      <c r="S8" s="83"/>
      <c r="T8" s="7"/>
      <c r="U8" s="6"/>
      <c r="V8" s="8"/>
    </row>
    <row r="9" spans="1:36">
      <c r="B9" s="9"/>
      <c r="C9" s="1" t="s">
        <v>2</v>
      </c>
      <c r="F9" s="10"/>
      <c r="G9" s="73"/>
      <c r="H9" s="73"/>
      <c r="I9" s="73"/>
      <c r="J9" s="73"/>
      <c r="K9" s="73"/>
      <c r="L9" s="73"/>
      <c r="M9" s="73"/>
      <c r="N9" s="10"/>
      <c r="O9" s="73"/>
      <c r="P9" s="10"/>
      <c r="Q9" s="73"/>
      <c r="R9" s="10"/>
      <c r="S9" s="73"/>
      <c r="T9" s="10"/>
      <c r="V9" s="11"/>
    </row>
    <row r="10" spans="1:36">
      <c r="B10" s="9"/>
      <c r="C10" s="12" t="s">
        <v>10</v>
      </c>
      <c r="D10" s="12" t="s">
        <v>11</v>
      </c>
      <c r="E10" s="12"/>
      <c r="F10" s="193" t="s">
        <v>12</v>
      </c>
      <c r="G10" s="194"/>
      <c r="H10" s="193" t="s">
        <v>989</v>
      </c>
      <c r="I10" s="194"/>
      <c r="J10" s="194" t="s">
        <v>1452</v>
      </c>
      <c r="K10" s="194"/>
      <c r="L10" s="457" t="s">
        <v>1572</v>
      </c>
      <c r="M10" s="194"/>
      <c r="N10" s="193" t="s">
        <v>1154</v>
      </c>
      <c r="O10" s="194"/>
      <c r="P10" s="193" t="s">
        <v>543</v>
      </c>
      <c r="Q10" s="194"/>
      <c r="R10" s="193" t="s">
        <v>1183</v>
      </c>
      <c r="S10" s="194"/>
      <c r="T10" s="193" t="s">
        <v>1184</v>
      </c>
      <c r="V10" s="11"/>
      <c r="X10" s="3"/>
      <c r="AI10" s="3"/>
      <c r="AJ10" s="3"/>
    </row>
    <row r="11" spans="1:36">
      <c r="B11" s="9"/>
      <c r="C11" t="s">
        <v>13</v>
      </c>
      <c r="D11" t="s">
        <v>25</v>
      </c>
      <c r="E11" s="200">
        <v>2024</v>
      </c>
      <c r="F11" s="73">
        <f>+'Schedule 1 - Plant'!F19</f>
        <v>2112147437</v>
      </c>
      <c r="G11" s="73"/>
      <c r="H11" s="84">
        <f>'Schedule 1 - Plant'!H19</f>
        <v>-2356808.0921250009</v>
      </c>
      <c r="I11" s="73"/>
      <c r="J11" s="84">
        <f>'Schedule 1 - Plant'!J19</f>
        <v>0</v>
      </c>
      <c r="K11" s="73"/>
      <c r="L11" s="84">
        <f>'Schedule 1 - Plant'!L19</f>
        <v>0</v>
      </c>
      <c r="M11" s="73"/>
      <c r="N11" s="84">
        <f>+'Schedule 13 Direct Assignment'!M23</f>
        <v>412693724.60380256</v>
      </c>
      <c r="O11" s="73"/>
      <c r="P11" s="73">
        <f>+F11+H11+J11+L11-N11</f>
        <v>1697096904.3040724</v>
      </c>
      <c r="Q11" s="73"/>
      <c r="R11" s="73">
        <f>+'Schedule 1 - Plant'!P7</f>
        <v>1398332956.1140723</v>
      </c>
      <c r="S11" s="73"/>
      <c r="T11" s="73">
        <f>+P11-R11</f>
        <v>298763948.19000006</v>
      </c>
      <c r="V11" s="11"/>
      <c r="X11" s="47"/>
    </row>
    <row r="12" spans="1:36">
      <c r="B12" s="9"/>
      <c r="C12" t="s">
        <v>14</v>
      </c>
      <c r="D12" t="s">
        <v>671</v>
      </c>
      <c r="E12" s="200">
        <v>2025</v>
      </c>
      <c r="F12" s="84">
        <v>2124366070.9699998</v>
      </c>
      <c r="G12" s="73"/>
      <c r="H12" s="84">
        <f>H11</f>
        <v>-2356808.0921250009</v>
      </c>
      <c r="I12" s="73"/>
      <c r="J12" s="84"/>
      <c r="K12" s="73"/>
      <c r="L12" s="84"/>
      <c r="M12" s="73"/>
      <c r="N12" s="84">
        <f>N11</f>
        <v>412693724.60380256</v>
      </c>
      <c r="O12" s="73"/>
      <c r="P12" s="73">
        <f t="shared" ref="P12:P23" si="0">+F12+H12+J12+L12-N12</f>
        <v>1709315538.2740722</v>
      </c>
      <c r="Q12" s="73"/>
      <c r="R12" s="73">
        <f>+'Schedule 1 - Plant'!P8</f>
        <v>1415792910.4540725</v>
      </c>
      <c r="S12" s="73"/>
      <c r="T12" s="73">
        <f t="shared" ref="T12:T23" si="1">+P12-R12</f>
        <v>293522627.81999969</v>
      </c>
      <c r="V12" s="11"/>
      <c r="X12" s="47"/>
    </row>
    <row r="13" spans="1:36">
      <c r="B13" s="9"/>
      <c r="C13" t="s">
        <v>15</v>
      </c>
      <c r="D13" t="s">
        <v>671</v>
      </c>
      <c r="E13" s="200">
        <v>2025</v>
      </c>
      <c r="F13" s="84">
        <v>2188662665.0199995</v>
      </c>
      <c r="G13" s="73"/>
      <c r="H13" s="84">
        <f t="shared" ref="H13:H23" si="2">H12</f>
        <v>-2356808.0921250009</v>
      </c>
      <c r="I13" s="73"/>
      <c r="J13" s="84"/>
      <c r="K13" s="73"/>
      <c r="L13" s="84"/>
      <c r="M13" s="73"/>
      <c r="N13" s="84">
        <f t="shared" ref="N13:N23" si="3">N12</f>
        <v>412693724.60380256</v>
      </c>
      <c r="O13" s="73"/>
      <c r="P13" s="73">
        <f t="shared" si="0"/>
        <v>1773612132.3240719</v>
      </c>
      <c r="Q13" s="73"/>
      <c r="R13" s="73">
        <f>+'Schedule 1 - Plant'!P9</f>
        <v>1418161746.9340725</v>
      </c>
      <c r="S13" s="73"/>
      <c r="T13" s="73">
        <f t="shared" si="1"/>
        <v>355450385.38999939</v>
      </c>
      <c r="V13" s="11"/>
      <c r="X13" s="47"/>
      <c r="AB13" s="3"/>
    </row>
    <row r="14" spans="1:36">
      <c r="B14" s="9"/>
      <c r="C14" t="s">
        <v>16</v>
      </c>
      <c r="D14" t="s">
        <v>671</v>
      </c>
      <c r="E14" s="200">
        <v>2025</v>
      </c>
      <c r="F14" s="84">
        <v>2192161930.1800003</v>
      </c>
      <c r="G14" s="73"/>
      <c r="H14" s="84">
        <f t="shared" si="2"/>
        <v>-2356808.0921250009</v>
      </c>
      <c r="I14" s="73"/>
      <c r="J14" s="84"/>
      <c r="K14" s="73"/>
      <c r="L14" s="84"/>
      <c r="M14" s="73"/>
      <c r="N14" s="84">
        <f>N13</f>
        <v>412693724.60380256</v>
      </c>
      <c r="O14" s="73"/>
      <c r="P14" s="73">
        <f t="shared" si="0"/>
        <v>1777111397.4840727</v>
      </c>
      <c r="Q14" s="73"/>
      <c r="R14" s="73">
        <f>+'Schedule 1 - Plant'!P10</f>
        <v>1427162827.2540717</v>
      </c>
      <c r="S14" s="73"/>
      <c r="T14" s="73">
        <f t="shared" si="1"/>
        <v>349948570.23000097</v>
      </c>
      <c r="V14" s="11"/>
      <c r="X14" s="47"/>
    </row>
    <row r="15" spans="1:36">
      <c r="B15" s="9"/>
      <c r="C15" t="s">
        <v>17</v>
      </c>
      <c r="D15" t="s">
        <v>671</v>
      </c>
      <c r="E15" s="200">
        <v>2025</v>
      </c>
      <c r="F15" s="84">
        <v>2196014617.8099999</v>
      </c>
      <c r="G15" s="73"/>
      <c r="H15" s="84">
        <f t="shared" si="2"/>
        <v>-2356808.0921250009</v>
      </c>
      <c r="I15" s="73"/>
      <c r="J15" s="84"/>
      <c r="K15" s="73"/>
      <c r="L15" s="84"/>
      <c r="M15" s="73"/>
      <c r="N15" s="84">
        <f t="shared" si="3"/>
        <v>412693724.60380256</v>
      </c>
      <c r="O15" s="73"/>
      <c r="P15" s="73">
        <f t="shared" si="0"/>
        <v>1780964085.1140723</v>
      </c>
      <c r="Q15" s="73"/>
      <c r="R15" s="73">
        <f>+'Schedule 1 - Plant'!P11</f>
        <v>1440203796.4740722</v>
      </c>
      <c r="S15" s="73"/>
      <c r="T15" s="73">
        <f t="shared" si="1"/>
        <v>340760288.6400001</v>
      </c>
      <c r="V15" s="132"/>
      <c r="X15" s="47"/>
    </row>
    <row r="16" spans="1:36">
      <c r="B16" s="9"/>
      <c r="C16" t="s">
        <v>18</v>
      </c>
      <c r="D16" t="s">
        <v>671</v>
      </c>
      <c r="E16" s="200">
        <v>2025</v>
      </c>
      <c r="F16" s="84">
        <v>2204183964.8900003</v>
      </c>
      <c r="G16" s="73"/>
      <c r="H16" s="84">
        <f t="shared" si="2"/>
        <v>-2356808.0921250009</v>
      </c>
      <c r="I16" s="73"/>
      <c r="J16" s="84"/>
      <c r="K16" s="73"/>
      <c r="L16" s="84"/>
      <c r="M16" s="73"/>
      <c r="N16" s="84">
        <f t="shared" si="3"/>
        <v>412693724.60380256</v>
      </c>
      <c r="O16" s="73"/>
      <c r="P16" s="73">
        <f t="shared" si="0"/>
        <v>1789133432.1940727</v>
      </c>
      <c r="Q16" s="73"/>
      <c r="R16" s="73">
        <f>+'Schedule 1 - Plant'!P12</f>
        <v>1475104739.6240726</v>
      </c>
      <c r="S16" s="73"/>
      <c r="T16" s="73">
        <f t="shared" si="1"/>
        <v>314028692.57000017</v>
      </c>
      <c r="V16" s="11"/>
      <c r="X16" s="47"/>
    </row>
    <row r="17" spans="2:24">
      <c r="B17" s="9"/>
      <c r="C17" t="s">
        <v>19</v>
      </c>
      <c r="D17" t="s">
        <v>671</v>
      </c>
      <c r="E17" s="200">
        <v>2025</v>
      </c>
      <c r="F17" s="84">
        <v>2208492252.5299997</v>
      </c>
      <c r="G17" s="73"/>
      <c r="H17" s="84">
        <f t="shared" si="2"/>
        <v>-2356808.0921250009</v>
      </c>
      <c r="I17" s="73"/>
      <c r="J17" s="84"/>
      <c r="K17" s="73"/>
      <c r="L17" s="84"/>
      <c r="M17" s="73"/>
      <c r="N17" s="84">
        <f t="shared" si="3"/>
        <v>412693724.60380256</v>
      </c>
      <c r="O17" s="73"/>
      <c r="P17" s="73">
        <f t="shared" si="0"/>
        <v>1793441719.8340721</v>
      </c>
      <c r="Q17" s="73"/>
      <c r="R17" s="73">
        <f>+'Schedule 1 - Plant'!P13</f>
        <v>1512229879.5040731</v>
      </c>
      <c r="S17" s="73"/>
      <c r="T17" s="73">
        <f t="shared" si="1"/>
        <v>281211840.32999897</v>
      </c>
      <c r="V17" s="11"/>
      <c r="X17" s="47"/>
    </row>
    <row r="18" spans="2:24">
      <c r="B18" s="9"/>
      <c r="C18" t="s">
        <v>20</v>
      </c>
      <c r="D18" t="s">
        <v>671</v>
      </c>
      <c r="E18" s="200">
        <v>2025</v>
      </c>
      <c r="F18" s="84">
        <v>2216971789.8299999</v>
      </c>
      <c r="G18" s="73"/>
      <c r="H18" s="84">
        <f t="shared" si="2"/>
        <v>-2356808.0921250009</v>
      </c>
      <c r="I18" s="73"/>
      <c r="J18" s="84"/>
      <c r="K18" s="73"/>
      <c r="L18" s="84"/>
      <c r="M18" s="73"/>
      <c r="N18" s="84">
        <f t="shared" si="3"/>
        <v>412693724.60380256</v>
      </c>
      <c r="O18" s="73"/>
      <c r="P18" s="73">
        <f t="shared" si="0"/>
        <v>1801921257.1340723</v>
      </c>
      <c r="Q18" s="73"/>
      <c r="R18" s="73">
        <f>+'Schedule 1 - Plant'!P14</f>
        <v>1546250203.2640729</v>
      </c>
      <c r="S18" s="73"/>
      <c r="T18" s="73">
        <f t="shared" si="1"/>
        <v>255671053.86999941</v>
      </c>
      <c r="V18" s="11"/>
      <c r="X18" s="47"/>
    </row>
    <row r="19" spans="2:24">
      <c r="B19" s="9"/>
      <c r="C19" t="s">
        <v>21</v>
      </c>
      <c r="D19" t="s">
        <v>671</v>
      </c>
      <c r="E19" s="200">
        <v>2025</v>
      </c>
      <c r="F19" s="84">
        <v>2218760331.79</v>
      </c>
      <c r="G19" s="73"/>
      <c r="H19" s="84">
        <f t="shared" si="2"/>
        <v>-2356808.0921250009</v>
      </c>
      <c r="I19" s="73"/>
      <c r="J19" s="84"/>
      <c r="K19" s="73"/>
      <c r="L19" s="84"/>
      <c r="M19" s="73"/>
      <c r="N19" s="84">
        <f t="shared" si="3"/>
        <v>412693724.60380256</v>
      </c>
      <c r="O19" s="73"/>
      <c r="P19" s="73">
        <f t="shared" si="0"/>
        <v>1803709799.0940723</v>
      </c>
      <c r="Q19" s="73"/>
      <c r="R19" s="73">
        <f>+'Schedule 1 - Plant'!P15</f>
        <v>1572635154.8340731</v>
      </c>
      <c r="S19" s="73"/>
      <c r="T19" s="73">
        <f t="shared" si="1"/>
        <v>231074644.25999928</v>
      </c>
      <c r="V19" s="11"/>
      <c r="X19" s="47"/>
    </row>
    <row r="20" spans="2:24">
      <c r="B20" s="9"/>
      <c r="C20" t="s">
        <v>22</v>
      </c>
      <c r="D20" t="s">
        <v>671</v>
      </c>
      <c r="E20" s="200">
        <v>2025</v>
      </c>
      <c r="F20" s="84">
        <v>2218694619.3099995</v>
      </c>
      <c r="G20" s="73"/>
      <c r="H20" s="84">
        <f t="shared" si="2"/>
        <v>-2356808.0921250009</v>
      </c>
      <c r="I20" s="73"/>
      <c r="J20" s="84"/>
      <c r="K20" s="73"/>
      <c r="L20" s="84"/>
      <c r="M20" s="73"/>
      <c r="N20" s="84">
        <f t="shared" si="3"/>
        <v>412693724.60380256</v>
      </c>
      <c r="O20" s="73"/>
      <c r="P20" s="73">
        <f t="shared" si="0"/>
        <v>1803644086.6140718</v>
      </c>
      <c r="Q20" s="73"/>
      <c r="R20" s="73">
        <f>+'Schedule 1 - Plant'!P16</f>
        <v>1583115914.0840731</v>
      </c>
      <c r="S20" s="73"/>
      <c r="T20" s="73">
        <f t="shared" si="1"/>
        <v>220528172.52999878</v>
      </c>
      <c r="V20" s="11"/>
      <c r="X20" s="47"/>
    </row>
    <row r="21" spans="2:24">
      <c r="B21" s="9"/>
      <c r="C21" t="s">
        <v>23</v>
      </c>
      <c r="D21" t="s">
        <v>671</v>
      </c>
      <c r="E21" s="200">
        <v>2025</v>
      </c>
      <c r="F21" s="84">
        <v>2307125643.9099998</v>
      </c>
      <c r="G21" s="73"/>
      <c r="H21" s="84">
        <f t="shared" si="2"/>
        <v>-2356808.0921250009</v>
      </c>
      <c r="I21" s="73"/>
      <c r="J21" s="84"/>
      <c r="K21" s="73"/>
      <c r="L21" s="84"/>
      <c r="M21" s="73"/>
      <c r="N21" s="84">
        <f t="shared" si="3"/>
        <v>412693724.60380256</v>
      </c>
      <c r="O21" s="73"/>
      <c r="P21" s="73">
        <f t="shared" si="0"/>
        <v>1892075111.2140722</v>
      </c>
      <c r="Q21" s="73"/>
      <c r="R21" s="73">
        <f>+'Schedule 1 - Plant'!P17</f>
        <v>1593548898.2840729</v>
      </c>
      <c r="S21" s="73"/>
      <c r="T21" s="73">
        <f t="shared" si="1"/>
        <v>298526212.92999935</v>
      </c>
      <c r="V21" s="11"/>
      <c r="X21" s="47"/>
    </row>
    <row r="22" spans="2:24">
      <c r="B22" s="9"/>
      <c r="C22" t="s">
        <v>24</v>
      </c>
      <c r="D22" t="s">
        <v>671</v>
      </c>
      <c r="E22" s="200">
        <v>2025</v>
      </c>
      <c r="F22" s="84">
        <v>2307092225.6500006</v>
      </c>
      <c r="G22" s="73"/>
      <c r="H22" s="84">
        <f t="shared" si="2"/>
        <v>-2356808.0921250009</v>
      </c>
      <c r="I22" s="73"/>
      <c r="J22" s="84"/>
      <c r="K22" s="73"/>
      <c r="L22" s="84"/>
      <c r="M22" s="73"/>
      <c r="N22" s="84">
        <f t="shared" si="3"/>
        <v>412693724.60380256</v>
      </c>
      <c r="O22" s="73"/>
      <c r="P22" s="73">
        <f t="shared" si="0"/>
        <v>1892041692.954073</v>
      </c>
      <c r="Q22" s="73"/>
      <c r="R22" s="73">
        <f>+'Schedule 1 - Plant'!P18</f>
        <v>1618886290.704073</v>
      </c>
      <c r="S22" s="73"/>
      <c r="T22" s="73">
        <f t="shared" si="1"/>
        <v>273155402.25</v>
      </c>
      <c r="V22" s="11"/>
      <c r="X22" s="47"/>
    </row>
    <row r="23" spans="2:24">
      <c r="B23" s="9"/>
      <c r="C23" t="s">
        <v>13</v>
      </c>
      <c r="D23" t="s">
        <v>671</v>
      </c>
      <c r="E23" s="200">
        <v>2025</v>
      </c>
      <c r="F23" s="84">
        <v>2333497538.8700004</v>
      </c>
      <c r="G23" s="126"/>
      <c r="H23" s="84">
        <f t="shared" si="2"/>
        <v>-2356808.0921250009</v>
      </c>
      <c r="I23" s="126"/>
      <c r="J23" s="277"/>
      <c r="K23" s="126"/>
      <c r="L23" s="277"/>
      <c r="M23" s="126"/>
      <c r="N23" s="277">
        <f t="shared" si="3"/>
        <v>412693724.60380256</v>
      </c>
      <c r="O23" s="126"/>
      <c r="P23" s="73">
        <f t="shared" si="0"/>
        <v>1918447006.1740727</v>
      </c>
      <c r="Q23" s="126"/>
      <c r="R23" s="126">
        <f>+'Schedule 1 - Plant'!P19</f>
        <v>1697096904.3040724</v>
      </c>
      <c r="S23" s="126"/>
      <c r="T23" s="73">
        <f t="shared" si="1"/>
        <v>221350101.87000036</v>
      </c>
      <c r="V23" s="11"/>
    </row>
    <row r="24" spans="2:24">
      <c r="B24" s="9"/>
      <c r="C24" s="1" t="s">
        <v>28</v>
      </c>
      <c r="F24" s="10">
        <f>AVERAGE(F11:F23)</f>
        <v>2217551622.1353841</v>
      </c>
      <c r="G24" s="73"/>
      <c r="H24" s="252">
        <f>AVERAGE(H11:H23)</f>
        <v>-2356808.0921250014</v>
      </c>
      <c r="I24" s="73"/>
      <c r="J24" s="73">
        <f>AVERAGE(J11:J23)</f>
        <v>0</v>
      </c>
      <c r="K24" s="73"/>
      <c r="L24" s="73">
        <f>AVERAGE(L11:L23)</f>
        <v>0</v>
      </c>
      <c r="M24" s="73"/>
      <c r="N24" s="252">
        <f>AVERAGE(N11:N23)</f>
        <v>412693724.60380262</v>
      </c>
      <c r="O24" s="73"/>
      <c r="P24" s="252">
        <f>AVERAGE(P11:P23)</f>
        <v>1802501089.4394572</v>
      </c>
      <c r="Q24" s="73"/>
      <c r="R24" s="10">
        <f>AVERAGE(R11:R23)</f>
        <v>1515270940.1409955</v>
      </c>
      <c r="S24" s="73"/>
      <c r="T24" s="252">
        <f>AVERAGE(T11:T23)</f>
        <v>287230149.29846126</v>
      </c>
      <c r="U24" t="s">
        <v>589</v>
      </c>
      <c r="V24" s="11"/>
    </row>
    <row r="25" spans="2:24" ht="15.75" thickBot="1">
      <c r="B25" s="14"/>
      <c r="C25" s="15"/>
      <c r="D25" s="15"/>
      <c r="E25" s="15"/>
      <c r="F25" s="16"/>
      <c r="G25" s="76"/>
      <c r="H25" s="16"/>
      <c r="I25" s="76"/>
      <c r="J25" s="76"/>
      <c r="K25" s="76"/>
      <c r="L25" s="76"/>
      <c r="M25" s="76"/>
      <c r="N25" s="16"/>
      <c r="O25" s="76"/>
      <c r="P25" s="16"/>
      <c r="Q25" s="76"/>
      <c r="R25" s="16"/>
      <c r="S25" s="76"/>
      <c r="T25" s="16"/>
      <c r="U25" s="15"/>
      <c r="V25" s="17"/>
    </row>
    <row r="26" spans="2:24">
      <c r="F26" s="10"/>
      <c r="G26" s="73"/>
      <c r="H26" s="10"/>
      <c r="I26" s="73"/>
      <c r="J26" s="73"/>
      <c r="K26" s="73"/>
      <c r="L26" s="73"/>
      <c r="M26" s="73"/>
      <c r="N26" s="10"/>
      <c r="O26" s="73"/>
      <c r="P26" s="10"/>
      <c r="Q26" s="73"/>
      <c r="R26" s="10"/>
      <c r="S26" s="73"/>
      <c r="T26" s="10"/>
    </row>
    <row r="27" spans="2:24">
      <c r="B27" s="93" t="s">
        <v>662</v>
      </c>
      <c r="C27" t="s">
        <v>872</v>
      </c>
      <c r="F27" s="10"/>
      <c r="G27" s="73"/>
      <c r="H27" s="10"/>
      <c r="I27" s="73"/>
      <c r="J27" s="73"/>
      <c r="K27" s="73"/>
      <c r="L27" s="73"/>
      <c r="M27" s="73"/>
      <c r="N27" s="10"/>
      <c r="O27" s="73"/>
      <c r="P27" s="10"/>
      <c r="Q27" s="73"/>
      <c r="R27" s="10"/>
      <c r="S27" s="73"/>
      <c r="T27" s="10"/>
    </row>
    <row r="28" spans="2:24" ht="15.75" thickBot="1"/>
    <row r="29" spans="2:24">
      <c r="B29" s="5" t="s">
        <v>534</v>
      </c>
      <c r="C29" s="6"/>
      <c r="D29" s="6"/>
      <c r="E29" s="6"/>
      <c r="F29" s="7"/>
      <c r="G29" s="83"/>
      <c r="H29" s="7"/>
      <c r="I29" s="83"/>
      <c r="J29" s="83"/>
      <c r="K29" s="83"/>
      <c r="L29" s="83"/>
      <c r="M29" s="83"/>
      <c r="N29" s="7"/>
      <c r="O29" s="83"/>
      <c r="P29" s="7"/>
      <c r="Q29" s="83"/>
      <c r="R29" s="7"/>
      <c r="S29" s="83"/>
      <c r="T29" s="7"/>
      <c r="U29" s="6"/>
      <c r="V29" s="8"/>
    </row>
    <row r="30" spans="2:24">
      <c r="B30" s="9"/>
      <c r="C30" s="1" t="s">
        <v>76</v>
      </c>
      <c r="F30" s="73"/>
      <c r="G30" s="73"/>
      <c r="H30" s="10"/>
      <c r="I30" s="73"/>
      <c r="J30" s="73"/>
      <c r="K30" s="73"/>
      <c r="L30" s="73"/>
      <c r="M30" s="73"/>
      <c r="N30" s="10"/>
      <c r="O30" s="73"/>
      <c r="P30" s="10"/>
      <c r="Q30" s="73"/>
      <c r="R30" s="10"/>
      <c r="S30" s="73"/>
      <c r="T30" s="10"/>
      <c r="V30" s="11"/>
      <c r="X30" s="3"/>
    </row>
    <row r="31" spans="2:24">
      <c r="B31" s="9"/>
      <c r="C31" s="12" t="s">
        <v>10</v>
      </c>
      <c r="D31" s="12" t="s">
        <v>11</v>
      </c>
      <c r="E31" s="12"/>
      <c r="F31" s="193" t="s">
        <v>12</v>
      </c>
      <c r="G31" s="194"/>
      <c r="H31" s="193" t="s">
        <v>989</v>
      </c>
      <c r="I31" s="194"/>
      <c r="J31" s="194" t="s">
        <v>1452</v>
      </c>
      <c r="K31" s="194"/>
      <c r="L31" s="457" t="s">
        <v>1572</v>
      </c>
      <c r="M31" s="194"/>
      <c r="N31" s="193" t="s">
        <v>1154</v>
      </c>
      <c r="O31" s="194"/>
      <c r="P31" s="193" t="s">
        <v>543</v>
      </c>
      <c r="Q31" s="194"/>
      <c r="R31" s="193" t="s">
        <v>1183</v>
      </c>
      <c r="S31" s="194"/>
      <c r="T31" s="193" t="s">
        <v>1184</v>
      </c>
      <c r="V31" s="11"/>
      <c r="X31" s="47"/>
    </row>
    <row r="32" spans="2:24">
      <c r="B32" s="9"/>
      <c r="C32" t="s">
        <v>13</v>
      </c>
      <c r="D32" t="s">
        <v>73</v>
      </c>
      <c r="E32" s="200">
        <v>2024</v>
      </c>
      <c r="F32" s="73">
        <f>+'Schedule 1 - Plant'!F111</f>
        <v>510374174</v>
      </c>
      <c r="G32" s="73"/>
      <c r="H32" s="436">
        <f>'Schedule 1 - Plant'!H111</f>
        <v>1666571.8343951514</v>
      </c>
      <c r="I32" s="73"/>
      <c r="J32" s="84">
        <f>'Schedule 1 - Plant'!J111</f>
        <v>0</v>
      </c>
      <c r="K32" s="73"/>
      <c r="L32" s="84">
        <f>'Schedule 1 - Plant'!L111</f>
        <v>0</v>
      </c>
      <c r="M32" s="73"/>
      <c r="N32" s="84">
        <f>-'Schedule 13 Direct Assignment'!M43</f>
        <v>66557483.951052591</v>
      </c>
      <c r="O32" s="73"/>
      <c r="P32" s="73">
        <f>+F32+H32+J32+L32-N32</f>
        <v>445483261.88334256</v>
      </c>
      <c r="Q32" s="73"/>
      <c r="R32" s="73">
        <f>+'Schedule 1 - Plant'!P99</f>
        <v>412206350.86233133</v>
      </c>
      <c r="S32" s="73"/>
      <c r="T32" s="73">
        <f>+P32-R32</f>
        <v>33276911.021011233</v>
      </c>
      <c r="V32" s="11"/>
      <c r="X32" s="47"/>
    </row>
    <row r="33" spans="2:28">
      <c r="B33" s="9"/>
      <c r="C33" t="s">
        <v>14</v>
      </c>
      <c r="D33" t="s">
        <v>671</v>
      </c>
      <c r="E33" s="200">
        <v>2025</v>
      </c>
      <c r="F33" s="84">
        <v>523808563.1500001</v>
      </c>
      <c r="G33" s="73"/>
      <c r="H33" s="436">
        <f>H32+H83</f>
        <v>1662467.060301367</v>
      </c>
      <c r="I33" s="73"/>
      <c r="J33" s="84"/>
      <c r="K33" s="73"/>
      <c r="L33" s="84"/>
      <c r="M33" s="73"/>
      <c r="N33" s="84">
        <f t="shared" ref="N33:N44" si="4">+N32+N83</f>
        <v>67534303.800846025</v>
      </c>
      <c r="O33" s="73"/>
      <c r="P33" s="73">
        <f t="shared" ref="P33:P44" si="5">+F33+H33+J33+L33-N33</f>
        <v>457936726.40945542</v>
      </c>
      <c r="Q33" s="73"/>
      <c r="R33" s="73">
        <f>+'Schedule 1 - Plant'!P100</f>
        <v>414745698.28068066</v>
      </c>
      <c r="S33" s="73"/>
      <c r="T33" s="73">
        <f t="shared" ref="T33:T44" si="6">+P33-R33</f>
        <v>43191028.128774762</v>
      </c>
      <c r="V33" s="11"/>
      <c r="X33" s="47"/>
    </row>
    <row r="34" spans="2:28">
      <c r="B34" s="9"/>
      <c r="C34" t="s">
        <v>15</v>
      </c>
      <c r="D34" t="s">
        <v>671</v>
      </c>
      <c r="E34" s="200">
        <v>2025</v>
      </c>
      <c r="F34" s="84">
        <v>553137911.31000006</v>
      </c>
      <c r="G34" s="73"/>
      <c r="H34" s="436">
        <f>H33+H84</f>
        <v>1658362.2862075826</v>
      </c>
      <c r="I34" s="73"/>
      <c r="J34" s="84"/>
      <c r="K34" s="73"/>
      <c r="L34" s="84"/>
      <c r="M34" s="73"/>
      <c r="N34" s="84">
        <f t="shared" si="4"/>
        <v>68511123.650639459</v>
      </c>
      <c r="O34" s="73"/>
      <c r="P34" s="73">
        <f t="shared" si="5"/>
        <v>486285149.94556814</v>
      </c>
      <c r="Q34" s="73"/>
      <c r="R34" s="73">
        <f>+'Schedule 1 - Plant'!P101</f>
        <v>417132883.05903041</v>
      </c>
      <c r="S34" s="73"/>
      <c r="T34" s="73">
        <f t="shared" si="6"/>
        <v>69152266.886537731</v>
      </c>
      <c r="V34" s="11"/>
      <c r="X34" s="47"/>
    </row>
    <row r="35" spans="2:28">
      <c r="B35" s="9"/>
      <c r="C35" t="s">
        <v>16</v>
      </c>
      <c r="D35" t="s">
        <v>671</v>
      </c>
      <c r="E35" s="200">
        <v>2025</v>
      </c>
      <c r="F35" s="84">
        <v>557049956.78999996</v>
      </c>
      <c r="G35" s="73"/>
      <c r="H35" s="436">
        <f t="shared" ref="H35:H43" si="7">H34+H85</f>
        <v>1654257.5121137982</v>
      </c>
      <c r="I35" s="73"/>
      <c r="J35" s="84"/>
      <c r="K35" s="73"/>
      <c r="L35" s="84"/>
      <c r="M35" s="73"/>
      <c r="N35" s="84">
        <f t="shared" si="4"/>
        <v>69487943.500432894</v>
      </c>
      <c r="O35" s="73"/>
      <c r="P35" s="73">
        <f t="shared" si="5"/>
        <v>489216270.80168086</v>
      </c>
      <c r="Q35" s="73"/>
      <c r="R35" s="73">
        <f>+'Schedule 1 - Plant'!P102</f>
        <v>419075605.01737994</v>
      </c>
      <c r="S35" s="73"/>
      <c r="T35" s="73">
        <f t="shared" si="6"/>
        <v>70140665.784300923</v>
      </c>
      <c r="V35" s="11"/>
      <c r="X35" s="47"/>
    </row>
    <row r="36" spans="2:28">
      <c r="B36" s="9"/>
      <c r="C36" t="s">
        <v>17</v>
      </c>
      <c r="D36" t="s">
        <v>671</v>
      </c>
      <c r="E36" s="200">
        <v>2025</v>
      </c>
      <c r="F36" s="84">
        <v>560235209.12</v>
      </c>
      <c r="G36" s="73"/>
      <c r="H36" s="436">
        <f t="shared" si="7"/>
        <v>1650152.7380200138</v>
      </c>
      <c r="I36" s="73"/>
      <c r="J36" s="84"/>
      <c r="K36" s="73"/>
      <c r="L36" s="84"/>
      <c r="M36" s="73"/>
      <c r="N36" s="84">
        <f t="shared" si="4"/>
        <v>70464763.350226328</v>
      </c>
      <c r="O36" s="73"/>
      <c r="P36" s="73">
        <f t="shared" si="5"/>
        <v>491420598.50779372</v>
      </c>
      <c r="Q36" s="73"/>
      <c r="R36" s="73">
        <f>+'Schedule 1 - Plant'!P103</f>
        <v>421378765.57490951</v>
      </c>
      <c r="S36" s="73"/>
      <c r="T36" s="73">
        <f t="shared" si="6"/>
        <v>70041832.932884216</v>
      </c>
      <c r="V36" s="11"/>
      <c r="X36" s="47"/>
    </row>
    <row r="37" spans="2:28">
      <c r="B37" s="9"/>
      <c r="C37" t="s">
        <v>18</v>
      </c>
      <c r="D37" t="s">
        <v>671</v>
      </c>
      <c r="E37" s="200">
        <v>2025</v>
      </c>
      <c r="F37" s="84">
        <v>565066125.81999969</v>
      </c>
      <c r="G37" s="73"/>
      <c r="H37" s="436">
        <f t="shared" si="7"/>
        <v>1646047.9639262294</v>
      </c>
      <c r="I37" s="73"/>
      <c r="J37" s="84"/>
      <c r="K37" s="73"/>
      <c r="L37" s="84"/>
      <c r="M37" s="73"/>
      <c r="N37" s="84">
        <f t="shared" si="4"/>
        <v>71441583.200019762</v>
      </c>
      <c r="O37" s="73"/>
      <c r="P37" s="73">
        <f t="shared" si="5"/>
        <v>495270590.58390611</v>
      </c>
      <c r="Q37" s="73"/>
      <c r="R37" s="73">
        <f>+'Schedule 1 - Plant'!P104</f>
        <v>423158900.22596353</v>
      </c>
      <c r="S37" s="73"/>
      <c r="T37" s="73">
        <f t="shared" si="6"/>
        <v>72111690.357942581</v>
      </c>
      <c r="V37" s="11"/>
      <c r="X37" s="47"/>
    </row>
    <row r="38" spans="2:28">
      <c r="B38" s="9"/>
      <c r="C38" t="s">
        <v>19</v>
      </c>
      <c r="D38" t="s">
        <v>671</v>
      </c>
      <c r="E38" s="200">
        <v>2025</v>
      </c>
      <c r="F38" s="84">
        <v>564052478.48000002</v>
      </c>
      <c r="G38" s="73"/>
      <c r="H38" s="436">
        <f t="shared" si="7"/>
        <v>1641943.189832445</v>
      </c>
      <c r="I38" s="73"/>
      <c r="J38" s="84"/>
      <c r="K38" s="73"/>
      <c r="L38" s="84"/>
      <c r="M38" s="73"/>
      <c r="N38" s="84">
        <f t="shared" si="4"/>
        <v>72418403.049813196</v>
      </c>
      <c r="O38" s="73"/>
      <c r="P38" s="73">
        <f t="shared" si="5"/>
        <v>493276018.62001926</v>
      </c>
      <c r="Q38" s="73"/>
      <c r="R38" s="73">
        <f>+'Schedule 1 - Plant'!P105</f>
        <v>425613870.71701801</v>
      </c>
      <c r="S38" s="73"/>
      <c r="T38" s="73">
        <f t="shared" si="6"/>
        <v>67662147.903001249</v>
      </c>
      <c r="V38" s="11"/>
      <c r="X38" s="47"/>
      <c r="AB38" s="3">
        <v>0</v>
      </c>
    </row>
    <row r="39" spans="2:28">
      <c r="B39" s="9"/>
      <c r="C39" t="s">
        <v>20</v>
      </c>
      <c r="D39" t="s">
        <v>671</v>
      </c>
      <c r="E39" s="200">
        <v>2025</v>
      </c>
      <c r="F39" s="84">
        <v>568882795.42999983</v>
      </c>
      <c r="G39" s="73"/>
      <c r="H39" s="436">
        <f t="shared" si="7"/>
        <v>1637838.4157386606</v>
      </c>
      <c r="I39" s="73"/>
      <c r="J39" s="84"/>
      <c r="K39" s="73"/>
      <c r="L39" s="84"/>
      <c r="M39" s="73"/>
      <c r="N39" s="84">
        <f t="shared" si="4"/>
        <v>73395222.89960663</v>
      </c>
      <c r="O39" s="73"/>
      <c r="P39" s="73">
        <f t="shared" si="5"/>
        <v>497125410.94613189</v>
      </c>
      <c r="Q39" s="73"/>
      <c r="R39" s="73">
        <f>+'Schedule 1 - Plant'!P106</f>
        <v>427868003.218072</v>
      </c>
      <c r="S39" s="73"/>
      <c r="T39" s="73">
        <f t="shared" si="6"/>
        <v>69257407.728059888</v>
      </c>
      <c r="V39" s="11"/>
      <c r="X39" s="47"/>
    </row>
    <row r="40" spans="2:28">
      <c r="B40" s="9"/>
      <c r="C40" t="s">
        <v>21</v>
      </c>
      <c r="D40" t="s">
        <v>671</v>
      </c>
      <c r="E40" s="200">
        <v>2025</v>
      </c>
      <c r="F40" s="84">
        <v>574155450.92000008</v>
      </c>
      <c r="G40" s="73"/>
      <c r="H40" s="436">
        <f t="shared" si="7"/>
        <v>1633733.6416448762</v>
      </c>
      <c r="I40" s="73"/>
      <c r="J40" s="84"/>
      <c r="K40" s="73"/>
      <c r="L40" s="84"/>
      <c r="M40" s="73"/>
      <c r="N40" s="84">
        <f t="shared" si="4"/>
        <v>74372042.749400064</v>
      </c>
      <c r="O40" s="73"/>
      <c r="P40" s="73">
        <f t="shared" si="5"/>
        <v>501417141.81224483</v>
      </c>
      <c r="Q40" s="73"/>
      <c r="R40" s="73">
        <f>+'Schedule 1 - Plant'!P107</f>
        <v>433886877.38912612</v>
      </c>
      <c r="S40" s="73"/>
      <c r="T40" s="73">
        <f t="shared" si="6"/>
        <v>67530264.423118711</v>
      </c>
      <c r="V40" s="11"/>
      <c r="X40" s="47"/>
    </row>
    <row r="41" spans="2:28">
      <c r="B41" s="9"/>
      <c r="C41" t="s">
        <v>22</v>
      </c>
      <c r="D41" t="s">
        <v>671</v>
      </c>
      <c r="E41" s="200">
        <v>2025</v>
      </c>
      <c r="F41" s="84">
        <v>579208569.94999993</v>
      </c>
      <c r="G41" s="73"/>
      <c r="H41" s="436">
        <f t="shared" si="7"/>
        <v>1629628.8675510918</v>
      </c>
      <c r="I41" s="73"/>
      <c r="J41" s="84"/>
      <c r="K41" s="73"/>
      <c r="L41" s="84"/>
      <c r="M41" s="73"/>
      <c r="N41" s="84">
        <f t="shared" si="4"/>
        <v>75348862.599193498</v>
      </c>
      <c r="O41" s="73"/>
      <c r="P41" s="73">
        <f t="shared" si="5"/>
        <v>505489336.2183575</v>
      </c>
      <c r="Q41" s="73"/>
      <c r="R41" s="73">
        <f>+'Schedule 1 - Plant'!P108</f>
        <v>436760626.68018001</v>
      </c>
      <c r="S41" s="73"/>
      <c r="T41" s="73">
        <f>+P41-R41</f>
        <v>68728709.53817749</v>
      </c>
      <c r="V41" s="11"/>
      <c r="X41" s="47"/>
    </row>
    <row r="42" spans="2:28">
      <c r="B42" s="9"/>
      <c r="C42" t="s">
        <v>23</v>
      </c>
      <c r="D42" t="s">
        <v>671</v>
      </c>
      <c r="E42" s="200">
        <v>2025</v>
      </c>
      <c r="F42" s="84">
        <v>583318907.57999992</v>
      </c>
      <c r="G42" s="73"/>
      <c r="H42" s="436">
        <f t="shared" si="7"/>
        <v>1625524.0934573074</v>
      </c>
      <c r="I42" s="73"/>
      <c r="J42" s="84"/>
      <c r="K42" s="73"/>
      <c r="L42" s="84"/>
      <c r="M42" s="73"/>
      <c r="N42" s="84">
        <f t="shared" si="4"/>
        <v>76325682.448986933</v>
      </c>
      <c r="O42" s="73"/>
      <c r="P42" s="73">
        <f t="shared" si="5"/>
        <v>508618749.22447032</v>
      </c>
      <c r="Q42" s="73"/>
      <c r="R42" s="73">
        <f>+'Schedule 1 - Plant'!P109</f>
        <v>438561497.2212342</v>
      </c>
      <c r="S42" s="73"/>
      <c r="T42" s="73">
        <f t="shared" si="6"/>
        <v>70057252.003236115</v>
      </c>
      <c r="V42" s="11"/>
      <c r="X42" s="47"/>
    </row>
    <row r="43" spans="2:28">
      <c r="B43" s="9"/>
      <c r="C43" t="s">
        <v>24</v>
      </c>
      <c r="D43" t="s">
        <v>671</v>
      </c>
      <c r="E43" s="200">
        <v>2025</v>
      </c>
      <c r="F43" s="84">
        <v>588599248.47000003</v>
      </c>
      <c r="G43" s="73"/>
      <c r="H43" s="436">
        <f t="shared" si="7"/>
        <v>1621419.319363523</v>
      </c>
      <c r="I43" s="73"/>
      <c r="J43" s="84"/>
      <c r="K43" s="73"/>
      <c r="L43" s="84"/>
      <c r="M43" s="73"/>
      <c r="N43" s="84">
        <f t="shared" si="4"/>
        <v>77302502.298780367</v>
      </c>
      <c r="O43" s="73"/>
      <c r="P43" s="73">
        <f t="shared" si="5"/>
        <v>512918165.49058312</v>
      </c>
      <c r="Q43" s="73"/>
      <c r="R43" s="73">
        <f>+'Schedule 1 - Plant'!P110</f>
        <v>441722665.44228852</v>
      </c>
      <c r="S43" s="73"/>
      <c r="T43" s="73">
        <f t="shared" si="6"/>
        <v>71195500.048294604</v>
      </c>
      <c r="V43" s="11"/>
      <c r="X43" s="47"/>
    </row>
    <row r="44" spans="2:28">
      <c r="B44" s="9"/>
      <c r="C44" t="s">
        <v>13</v>
      </c>
      <c r="D44" t="s">
        <v>671</v>
      </c>
      <c r="E44" s="200">
        <v>2025</v>
      </c>
      <c r="F44" s="84">
        <v>588630267.64999998</v>
      </c>
      <c r="G44" s="126"/>
      <c r="H44" s="437">
        <f>H43+H94</f>
        <v>1617314.5452697386</v>
      </c>
      <c r="I44" s="126"/>
      <c r="J44" s="277"/>
      <c r="K44" s="126"/>
      <c r="L44" s="277"/>
      <c r="M44" s="126"/>
      <c r="N44" s="277">
        <f t="shared" si="4"/>
        <v>78279322.148573801</v>
      </c>
      <c r="O44" s="126"/>
      <c r="P44" s="73">
        <f t="shared" si="5"/>
        <v>511968260.04669589</v>
      </c>
      <c r="Q44" s="126"/>
      <c r="R44" s="126">
        <f>+'Schedule 1 - Plant'!P111</f>
        <v>445483261.88334256</v>
      </c>
      <c r="S44" s="126"/>
      <c r="T44" s="126">
        <f t="shared" si="6"/>
        <v>66484998.163353324</v>
      </c>
      <c r="V44" s="11"/>
      <c r="X44" s="47"/>
    </row>
    <row r="45" spans="2:28">
      <c r="B45" s="9"/>
      <c r="C45" s="1" t="s">
        <v>77</v>
      </c>
      <c r="F45" s="252">
        <f>AVERAGE(F32:F44)</f>
        <v>562809204.5130769</v>
      </c>
      <c r="G45" s="10"/>
      <c r="H45" s="10">
        <f>AVERAGE(H32:H44)</f>
        <v>1641943.189832445</v>
      </c>
      <c r="I45" s="73"/>
      <c r="J45" s="73">
        <f>AVERAGE(J32:J44)</f>
        <v>0</v>
      </c>
      <c r="K45" s="73"/>
      <c r="L45" s="73">
        <f>AVERAGE(L32:L44)</f>
        <v>0</v>
      </c>
      <c r="M45" s="73"/>
      <c r="N45" s="10">
        <f>AVERAGE(N32:N44)</f>
        <v>72418403.049813181</v>
      </c>
      <c r="O45" s="73"/>
      <c r="P45" s="252">
        <f>AVERAGE(P32:P44)</f>
        <v>492032744.65309608</v>
      </c>
      <c r="Q45" s="73"/>
      <c r="R45" s="10">
        <f>AVERAGE(R32:R44)</f>
        <v>427507308.12088901</v>
      </c>
      <c r="S45" s="73"/>
      <c r="T45" s="10">
        <f>AVERAGE(T32:T44)</f>
        <v>64525436.532207131</v>
      </c>
      <c r="U45" t="s">
        <v>590</v>
      </c>
      <c r="V45" s="11"/>
      <c r="X45" s="47"/>
    </row>
    <row r="46" spans="2:28" ht="15.75" thickBot="1">
      <c r="B46" s="14"/>
      <c r="C46" s="15"/>
      <c r="D46" s="15"/>
      <c r="E46" s="15"/>
      <c r="F46" s="16"/>
      <c r="G46" s="76"/>
      <c r="H46" s="16"/>
      <c r="I46" s="76"/>
      <c r="J46" s="76"/>
      <c r="K46" s="76"/>
      <c r="L46" s="76"/>
      <c r="M46" s="76"/>
      <c r="N46" s="16"/>
      <c r="O46" s="76"/>
      <c r="P46" s="16"/>
      <c r="Q46" s="76"/>
      <c r="R46" s="16"/>
      <c r="S46" s="76"/>
      <c r="T46" s="16"/>
      <c r="U46" s="15"/>
      <c r="V46" s="17"/>
      <c r="X46" s="47"/>
    </row>
    <row r="47" spans="2:28">
      <c r="F47" s="10"/>
      <c r="G47" s="73"/>
      <c r="H47" s="10"/>
      <c r="I47" s="73"/>
      <c r="J47" s="73"/>
      <c r="K47" s="73"/>
      <c r="L47" s="73"/>
      <c r="M47" s="73"/>
      <c r="N47" s="10"/>
      <c r="O47" s="73"/>
      <c r="P47" s="10"/>
      <c r="Q47" s="73"/>
      <c r="R47" s="10"/>
      <c r="S47" s="73"/>
      <c r="T47" s="10"/>
    </row>
    <row r="48" spans="2:28">
      <c r="B48" s="93" t="s">
        <v>663</v>
      </c>
      <c r="C48" s="200" t="s">
        <v>664</v>
      </c>
      <c r="F48" s="10"/>
      <c r="G48" s="73"/>
      <c r="H48" s="10"/>
      <c r="I48" s="73"/>
      <c r="J48" s="73"/>
      <c r="K48" s="73"/>
      <c r="L48" s="73"/>
      <c r="M48" s="73"/>
      <c r="N48" s="10"/>
      <c r="O48" s="73"/>
      <c r="P48" s="10"/>
      <c r="Q48" s="73"/>
      <c r="R48" s="10"/>
      <c r="S48" s="73"/>
      <c r="T48" s="10"/>
    </row>
    <row r="49" spans="2:22" ht="15.75" thickBot="1">
      <c r="C49" s="200" t="s">
        <v>1563</v>
      </c>
    </row>
    <row r="50" spans="2:22">
      <c r="B50" s="5" t="s">
        <v>1561</v>
      </c>
      <c r="C50" s="6"/>
      <c r="D50" s="6"/>
      <c r="E50" s="6"/>
      <c r="F50" s="7"/>
      <c r="G50" s="83"/>
      <c r="H50" s="7"/>
      <c r="I50" s="83"/>
      <c r="J50" s="83"/>
      <c r="K50" s="83"/>
      <c r="L50" s="83"/>
      <c r="M50" s="83"/>
      <c r="N50" s="7"/>
      <c r="O50" s="83"/>
      <c r="P50" s="7"/>
      <c r="Q50" s="83"/>
      <c r="R50" s="7"/>
      <c r="S50" s="83"/>
      <c r="T50" s="7"/>
      <c r="U50" s="6"/>
      <c r="V50" s="8"/>
    </row>
    <row r="51" spans="2:22">
      <c r="B51" s="9"/>
      <c r="C51" s="1" t="s">
        <v>539</v>
      </c>
      <c r="F51" s="10"/>
      <c r="G51" s="73"/>
      <c r="H51" s="10"/>
      <c r="I51" s="73"/>
      <c r="J51" s="73"/>
      <c r="K51" s="73"/>
      <c r="L51" s="73"/>
      <c r="M51" s="73"/>
      <c r="N51" s="10"/>
      <c r="O51" s="73"/>
      <c r="P51" s="10"/>
      <c r="Q51" s="73"/>
      <c r="R51" s="10"/>
      <c r="S51" s="73"/>
      <c r="T51" s="10"/>
      <c r="V51" s="11"/>
    </row>
    <row r="52" spans="2:22">
      <c r="B52" s="9"/>
      <c r="C52" s="12" t="s">
        <v>10</v>
      </c>
      <c r="D52" s="12" t="s">
        <v>11</v>
      </c>
      <c r="E52" s="12"/>
      <c r="F52" s="193" t="s">
        <v>12</v>
      </c>
      <c r="G52" s="194"/>
      <c r="H52" s="193" t="s">
        <v>989</v>
      </c>
      <c r="I52" s="194"/>
      <c r="J52" s="194" t="s">
        <v>1452</v>
      </c>
      <c r="K52" s="194"/>
      <c r="L52" s="457" t="s">
        <v>1572</v>
      </c>
      <c r="M52" s="194"/>
      <c r="N52" s="193" t="s">
        <v>1154</v>
      </c>
      <c r="O52" s="194"/>
      <c r="P52" s="193" t="s">
        <v>543</v>
      </c>
      <c r="Q52" s="194"/>
      <c r="R52" s="10"/>
      <c r="S52" s="10"/>
      <c r="T52" s="10"/>
      <c r="U52" s="13"/>
      <c r="V52" s="11"/>
    </row>
    <row r="53" spans="2:22">
      <c r="B53" s="9"/>
      <c r="C53" t="s">
        <v>13</v>
      </c>
      <c r="D53" t="s">
        <v>1185</v>
      </c>
      <c r="E53" s="200">
        <v>2024</v>
      </c>
      <c r="F53" s="128">
        <f>+'Schedule 2 - ADIT'!E33</f>
        <v>-170714996.74000001</v>
      </c>
      <c r="G53" s="128"/>
      <c r="H53" s="128">
        <f>'Schedule 2 - ADIT'!E48</f>
        <v>1243968.6783836968</v>
      </c>
      <c r="I53" s="128"/>
      <c r="J53" s="436">
        <f>'Schedule 1 - Plant'!J111</f>
        <v>0</v>
      </c>
      <c r="K53" s="128"/>
      <c r="L53" s="436"/>
      <c r="M53" s="128"/>
      <c r="N53" s="128">
        <f>-'Schedule 2 - ADIT'!E43</f>
        <v>-36890768.849492319</v>
      </c>
      <c r="O53" s="128"/>
      <c r="P53" s="128">
        <f>+F53+H53+J53+L53-N53</f>
        <v>-132580259.21212399</v>
      </c>
      <c r="Q53" s="128"/>
      <c r="R53" s="343"/>
      <c r="S53" s="10"/>
      <c r="T53" s="10"/>
      <c r="U53" s="73"/>
      <c r="V53" s="11"/>
    </row>
    <row r="54" spans="2:22" s="312" customFormat="1">
      <c r="B54" s="463"/>
      <c r="C54" s="200" t="s">
        <v>14</v>
      </c>
      <c r="D54" s="200" t="s">
        <v>671</v>
      </c>
      <c r="E54" s="200">
        <v>2025</v>
      </c>
      <c r="F54" s="128">
        <f>(((F12-F$11)*$F$102)-F110)*('Attachment H-1'!$H$310)+F53</f>
        <v>-170863246.70522565</v>
      </c>
      <c r="G54" s="128"/>
      <c r="H54" s="128">
        <f>(((H12-H11)*$F$102)-H110)*('Attachment H-1'!$H$310)+H53</f>
        <v>1243968.6783836968</v>
      </c>
      <c r="I54" s="128"/>
      <c r="J54" s="128">
        <f>(((J12-J11)*$F$102)-J110)*('Attachment H-1'!$H$310)+J53</f>
        <v>0</v>
      </c>
      <c r="K54" s="128"/>
      <c r="L54" s="436"/>
      <c r="M54" s="128"/>
      <c r="N54" s="128">
        <f>(((N12-N11)*$F$102)-N110)*('Attachment H-1'!$H$310)+N53</f>
        <v>-36890768.849492319</v>
      </c>
      <c r="O54" s="128"/>
      <c r="P54" s="128">
        <f>+F54+H54+J54+L54-N54</f>
        <v>-132728509.17734963</v>
      </c>
      <c r="Q54" s="128"/>
      <c r="R54" s="464"/>
      <c r="S54" s="73"/>
      <c r="T54" s="465"/>
      <c r="U54" s="466"/>
      <c r="V54" s="467"/>
    </row>
    <row r="55" spans="2:22" s="312" customFormat="1">
      <c r="B55" s="463"/>
      <c r="C55" s="200" t="s">
        <v>15</v>
      </c>
      <c r="D55" s="200" t="s">
        <v>671</v>
      </c>
      <c r="E55" s="200">
        <v>2025</v>
      </c>
      <c r="F55" s="128">
        <f>(((F13-F$11)*$F$102)-F111)*('Attachment H-1'!$H$310)+F54</f>
        <v>-171636429.24984291</v>
      </c>
      <c r="G55" s="128"/>
      <c r="H55" s="128">
        <f>(((H13-H12)*$F$102)-H111)*('Attachment H-1'!$H$310)+H54</f>
        <v>1243968.6783836968</v>
      </c>
      <c r="I55" s="128"/>
      <c r="J55" s="128">
        <f>(((J13-J12)*$F$102)-J111)*('Attachment H-1'!$H$310)+J54</f>
        <v>0</v>
      </c>
      <c r="K55" s="128"/>
      <c r="L55" s="436"/>
      <c r="M55" s="128"/>
      <c r="N55" s="128">
        <f>(((N13-N12)*$F$102)-N111)*('Attachment H-1'!$H$310)+N54</f>
        <v>-36890768.849492319</v>
      </c>
      <c r="O55" s="128"/>
      <c r="P55" s="128">
        <f t="shared" ref="P55:P65" si="8">+F55+H55+J55+L55-N55</f>
        <v>-133501691.72196689</v>
      </c>
      <c r="Q55" s="128"/>
      <c r="R55" s="128"/>
      <c r="S55" s="73"/>
      <c r="T55" s="73"/>
      <c r="U55" s="466"/>
      <c r="V55" s="467"/>
    </row>
    <row r="56" spans="2:22" s="312" customFormat="1">
      <c r="B56" s="463"/>
      <c r="C56" s="200" t="s">
        <v>16</v>
      </c>
      <c r="D56" s="200" t="s">
        <v>671</v>
      </c>
      <c r="E56" s="200">
        <v>2025</v>
      </c>
      <c r="F56" s="128">
        <f>(((F14-F$11)*$F$102)-F112)*('Attachment H-1'!$H$310)+F55</f>
        <v>-171635459.50046846</v>
      </c>
      <c r="G56" s="128"/>
      <c r="H56" s="128">
        <f>(((H14-H13)*$F$102)-H112)*('Attachment H-1'!$H$310)+H55</f>
        <v>1243968.6783836968</v>
      </c>
      <c r="I56" s="128"/>
      <c r="J56" s="128">
        <f>(((J14-J13)*$F$102)-J112)*('Attachment H-1'!$H$310)+J55</f>
        <v>0</v>
      </c>
      <c r="K56" s="128"/>
      <c r="L56" s="436"/>
      <c r="M56" s="128"/>
      <c r="N56" s="128">
        <f>(((N14-N13)*$F$102)-N112)*('Attachment H-1'!$H$310)+N55</f>
        <v>-36890768.849492319</v>
      </c>
      <c r="O56" s="128"/>
      <c r="P56" s="128">
        <f t="shared" si="8"/>
        <v>-133500721.97259244</v>
      </c>
      <c r="Q56" s="128"/>
      <c r="R56" s="468"/>
      <c r="S56" s="73"/>
      <c r="T56" s="73"/>
      <c r="U56" s="466"/>
      <c r="V56" s="467"/>
    </row>
    <row r="57" spans="2:22" s="312" customFormat="1">
      <c r="B57" s="463"/>
      <c r="C57" s="200" t="s">
        <v>17</v>
      </c>
      <c r="D57" s="200" t="s">
        <v>671</v>
      </c>
      <c r="E57" s="200">
        <v>2025</v>
      </c>
      <c r="F57" s="128">
        <f>(((F15-F$11)*$F$102)-F113)*('Attachment H-1'!$H$310)+F56</f>
        <v>-171636791.83292827</v>
      </c>
      <c r="G57" s="128"/>
      <c r="H57" s="128">
        <f>(((H15-H14)*$F$102)-H113)*('Attachment H-1'!$H$310)+H56</f>
        <v>1243968.6783836968</v>
      </c>
      <c r="I57" s="128"/>
      <c r="J57" s="128">
        <f>(((J15-J14)*$F$102)-J113)*('Attachment H-1'!$H$310)+J56</f>
        <v>0</v>
      </c>
      <c r="K57" s="128"/>
      <c r="L57" s="436"/>
      <c r="M57" s="128"/>
      <c r="N57" s="128">
        <f>(((N15-N14)*$F$102)-N113)*('Attachment H-1'!$H$310)+N56</f>
        <v>-36890768.849492319</v>
      </c>
      <c r="O57" s="128"/>
      <c r="P57" s="128">
        <f t="shared" si="8"/>
        <v>-133502054.30505225</v>
      </c>
      <c r="Q57" s="128"/>
      <c r="R57" s="128"/>
      <c r="S57" s="73"/>
      <c r="T57" s="73"/>
      <c r="U57" s="466"/>
      <c r="V57" s="467"/>
    </row>
    <row r="58" spans="2:22" s="312" customFormat="1">
      <c r="B58" s="463"/>
      <c r="C58" s="200" t="s">
        <v>18</v>
      </c>
      <c r="D58" s="200" t="s">
        <v>671</v>
      </c>
      <c r="E58" s="200">
        <v>2025</v>
      </c>
      <c r="F58" s="128">
        <f>(((F16-F$11)*$F$102)-F114)*('Attachment H-1'!$H$310)+F57</f>
        <v>-171688312.0292936</v>
      </c>
      <c r="G58" s="128"/>
      <c r="H58" s="128">
        <f>(((H16-H15)*$F$102)-H114)*('Attachment H-1'!$H$310)+H57</f>
        <v>1243968.6783836968</v>
      </c>
      <c r="I58" s="128"/>
      <c r="J58" s="128">
        <f>(((J16-J15)*$F$102)-J114)*('Attachment H-1'!$H$310)+J57</f>
        <v>0</v>
      </c>
      <c r="K58" s="128"/>
      <c r="L58" s="436"/>
      <c r="M58" s="128"/>
      <c r="N58" s="128">
        <f>(((N16-N15)*$F$102)-N114)*('Attachment H-1'!$H$310)+N57</f>
        <v>-36890768.849492319</v>
      </c>
      <c r="O58" s="128"/>
      <c r="P58" s="128">
        <f t="shared" si="8"/>
        <v>-133553574.50141758</v>
      </c>
      <c r="Q58" s="128"/>
      <c r="R58" s="128"/>
      <c r="S58" s="73"/>
      <c r="T58" s="73"/>
      <c r="U58" s="466"/>
      <c r="V58" s="467"/>
    </row>
    <row r="59" spans="2:22" s="312" customFormat="1">
      <c r="B59" s="463"/>
      <c r="C59" s="200" t="s">
        <v>19</v>
      </c>
      <c r="D59" s="200" t="s">
        <v>671</v>
      </c>
      <c r="E59" s="200">
        <v>2025</v>
      </c>
      <c r="F59" s="128">
        <f>(((F17-F$11)*$F$102)-F115)*('Attachment H-1'!$H$310)+F58</f>
        <v>-171688349.02280238</v>
      </c>
      <c r="G59" s="128"/>
      <c r="H59" s="128">
        <f>(((H17-H16)*$F$102)-H115)*('Attachment H-1'!$H$310)+H58</f>
        <v>1243968.6783836968</v>
      </c>
      <c r="I59" s="128"/>
      <c r="J59" s="128">
        <f>(((J17-J16)*$F$102)-J115)*('Attachment H-1'!$H$310)+J58</f>
        <v>0</v>
      </c>
      <c r="K59" s="128"/>
      <c r="L59" s="436"/>
      <c r="M59" s="128"/>
      <c r="N59" s="128">
        <f>(((N17-N16)*$F$102)-N115)*('Attachment H-1'!$H$310)+N58</f>
        <v>-36890768.849492319</v>
      </c>
      <c r="O59" s="128"/>
      <c r="P59" s="128">
        <f t="shared" si="8"/>
        <v>-133553611.49492636</v>
      </c>
      <c r="Q59" s="128"/>
      <c r="R59" s="128"/>
      <c r="S59" s="73"/>
      <c r="T59" s="73"/>
      <c r="U59" s="466"/>
      <c r="V59" s="467"/>
    </row>
    <row r="60" spans="2:22" s="312" customFormat="1">
      <c r="B60" s="463"/>
      <c r="C60" s="200" t="s">
        <v>20</v>
      </c>
      <c r="D60" s="200" t="s">
        <v>671</v>
      </c>
      <c r="E60" s="200">
        <v>2025</v>
      </c>
      <c r="F60" s="128">
        <f>(((F18-F$11)*$F$102)-F116)*('Attachment H-1'!$H$310)+F59</f>
        <v>-171736551.02935323</v>
      </c>
      <c r="G60" s="128"/>
      <c r="H60" s="128">
        <f>(((H18-H17)*$F$102)-H116)*('Attachment H-1'!$H$310)+H59</f>
        <v>1243968.6783836968</v>
      </c>
      <c r="I60" s="128"/>
      <c r="J60" s="128">
        <f>(((J18-J17)*$F$102)-J116)*('Attachment H-1'!$H$310)+J59</f>
        <v>0</v>
      </c>
      <c r="K60" s="128"/>
      <c r="L60" s="436"/>
      <c r="M60" s="128"/>
      <c r="N60" s="128">
        <f>(((N18-N17)*$F$102)-N116)*('Attachment H-1'!$H$310)+N59</f>
        <v>-36890768.849492319</v>
      </c>
      <c r="O60" s="128"/>
      <c r="P60" s="128">
        <f t="shared" si="8"/>
        <v>-133601813.50147721</v>
      </c>
      <c r="Q60" s="128"/>
      <c r="R60" s="128"/>
      <c r="S60" s="73"/>
      <c r="T60" s="73"/>
      <c r="U60" s="466"/>
      <c r="V60" s="467"/>
    </row>
    <row r="61" spans="2:22" s="312" customFormat="1">
      <c r="B61" s="463"/>
      <c r="C61" s="200" t="s">
        <v>21</v>
      </c>
      <c r="D61" s="200" t="s">
        <v>671</v>
      </c>
      <c r="E61" s="200">
        <v>2025</v>
      </c>
      <c r="F61" s="128">
        <f>(((F19-F$11)*$F$102)-F117)*('Attachment H-1'!$H$310)+F60</f>
        <v>-171698757.87406951</v>
      </c>
      <c r="G61" s="128"/>
      <c r="H61" s="128">
        <f>(((H19-H18)*$F$102)-H117)*('Attachment H-1'!$H$310)+H60</f>
        <v>1243968.6783836968</v>
      </c>
      <c r="I61" s="128"/>
      <c r="J61" s="128">
        <f>(((J19-J18)*$F$102)-J117)*('Attachment H-1'!$H$310)+J60</f>
        <v>0</v>
      </c>
      <c r="K61" s="128"/>
      <c r="L61" s="436"/>
      <c r="M61" s="128"/>
      <c r="N61" s="128">
        <f>(((N19-N18)*$F$102)-N117)*('Attachment H-1'!$H$310)+N60</f>
        <v>-36890768.849492319</v>
      </c>
      <c r="O61" s="128"/>
      <c r="P61" s="128">
        <f t="shared" si="8"/>
        <v>-133564020.34619349</v>
      </c>
      <c r="Q61" s="128"/>
      <c r="R61" s="128"/>
      <c r="S61" s="73"/>
      <c r="T61" s="73"/>
      <c r="U61" s="466"/>
      <c r="V61" s="467"/>
    </row>
    <row r="62" spans="2:22" s="312" customFormat="1">
      <c r="B62" s="463"/>
      <c r="C62" s="200" t="s">
        <v>22</v>
      </c>
      <c r="D62" s="200" t="s">
        <v>671</v>
      </c>
      <c r="E62" s="200">
        <v>2025</v>
      </c>
      <c r="F62" s="128">
        <f>(((F20-F$11)*$F$102)-F118)*('Attachment H-1'!$H$310)+F61</f>
        <v>-171637451.75726607</v>
      </c>
      <c r="G62" s="128"/>
      <c r="H62" s="128">
        <f>(((H20-H19)*$F$102)-H118)*('Attachment H-1'!$H$310)+H61</f>
        <v>1243968.6783836968</v>
      </c>
      <c r="I62" s="128"/>
      <c r="J62" s="128">
        <f>(((J20-J19)*$F$102)-J118)*('Attachment H-1'!$H$310)+J61</f>
        <v>0</v>
      </c>
      <c r="K62" s="128"/>
      <c r="L62" s="436"/>
      <c r="M62" s="128"/>
      <c r="N62" s="128">
        <f>(((N20-N19)*$F$102)-N118)*('Attachment H-1'!$H$310)+N61</f>
        <v>-36890768.849492319</v>
      </c>
      <c r="O62" s="128"/>
      <c r="P62" s="128">
        <f t="shared" si="8"/>
        <v>-133502714.22939005</v>
      </c>
      <c r="Q62" s="128"/>
      <c r="R62" s="128"/>
      <c r="S62" s="73"/>
      <c r="T62" s="73"/>
      <c r="U62" s="466"/>
      <c r="V62" s="467"/>
    </row>
    <row r="63" spans="2:22" s="312" customFormat="1">
      <c r="B63" s="463"/>
      <c r="C63" s="200" t="s">
        <v>23</v>
      </c>
      <c r="D63" s="200" t="s">
        <v>671</v>
      </c>
      <c r="E63" s="200">
        <v>2025</v>
      </c>
      <c r="F63" s="128">
        <f>(((F21-F$11)*$F$102)-F119)*('Attachment H-1'!$H$310)+F62</f>
        <v>-172649923.1124258</v>
      </c>
      <c r="G63" s="128"/>
      <c r="H63" s="128">
        <f>(((H21-H20)*$F$102)-H119)*('Attachment H-1'!$H$310)+H62</f>
        <v>1243968.6783836968</v>
      </c>
      <c r="I63" s="128"/>
      <c r="J63" s="128">
        <f>(((J21-J20)*$F$102)-J119)*('Attachment H-1'!$H$310)+J62</f>
        <v>0</v>
      </c>
      <c r="K63" s="128"/>
      <c r="L63" s="436"/>
      <c r="M63" s="128"/>
      <c r="N63" s="128">
        <f>(((N21-N20)*$F$102)-N119)*('Attachment H-1'!$H$310)+N62</f>
        <v>-36890768.849492319</v>
      </c>
      <c r="O63" s="128"/>
      <c r="P63" s="128">
        <f t="shared" si="8"/>
        <v>-134515185.58454978</v>
      </c>
      <c r="Q63" s="128"/>
      <c r="R63" s="128"/>
      <c r="S63" s="73"/>
      <c r="T63" s="73"/>
      <c r="U63" s="466"/>
      <c r="V63" s="467"/>
    </row>
    <row r="64" spans="2:22" s="312" customFormat="1">
      <c r="B64" s="463"/>
      <c r="C64" s="200" t="s">
        <v>24</v>
      </c>
      <c r="D64" s="200" t="s">
        <v>671</v>
      </c>
      <c r="E64" s="200">
        <v>2025</v>
      </c>
      <c r="F64" s="128">
        <f>(((F22-F$11)*$F$102)-F120)*('Attachment H-1'!$H$310)+F63</f>
        <v>-172538856.53492737</v>
      </c>
      <c r="G64" s="128"/>
      <c r="H64" s="128">
        <f>(((H22-H21)*$F$102)-H120)*('Attachment H-1'!$H$310)+H63</f>
        <v>1243968.6783836968</v>
      </c>
      <c r="I64" s="128"/>
      <c r="J64" s="128">
        <f>(((J22-J21)*$F$102)-J120)*('Attachment H-1'!$H$310)+J63</f>
        <v>0</v>
      </c>
      <c r="K64" s="128"/>
      <c r="L64" s="436"/>
      <c r="M64" s="128"/>
      <c r="N64" s="128">
        <f>(((N22-N21)*$F$102)-N120)*('Attachment H-1'!$H$310)+N63</f>
        <v>-36890768.849492319</v>
      </c>
      <c r="O64" s="128"/>
      <c r="P64" s="128">
        <f t="shared" si="8"/>
        <v>-134404119.00705135</v>
      </c>
      <c r="Q64" s="128"/>
      <c r="R64" s="128"/>
      <c r="S64" s="73"/>
      <c r="T64" s="73"/>
      <c r="U64" s="466"/>
      <c r="V64" s="467"/>
    </row>
    <row r="65" spans="2:22">
      <c r="B65" s="9"/>
      <c r="C65" s="200" t="s">
        <v>13</v>
      </c>
      <c r="D65" s="200" t="s">
        <v>671</v>
      </c>
      <c r="E65" s="200">
        <v>2025</v>
      </c>
      <c r="F65" s="128">
        <f>(((F23-F$11)*$F$102)-F121)*('Attachment H-1'!$H$310)+F64</f>
        <v>-172748592.82130453</v>
      </c>
      <c r="G65" s="128"/>
      <c r="H65" s="128">
        <f>(((H23-H22)*$F$102)-H121)*('Attachment H-1'!$H$310)+H64</f>
        <v>1243968.6783836968</v>
      </c>
      <c r="I65" s="128"/>
      <c r="J65" s="128">
        <f>(((J23-J22)*$F$102)-J121)*('Attachment H-1'!$H$310)+J64</f>
        <v>0</v>
      </c>
      <c r="K65" s="128"/>
      <c r="L65" s="436"/>
      <c r="M65" s="128"/>
      <c r="N65" s="128">
        <f>(((N23-N22)*$F$102)-N121)*('Attachment H-1'!$H$310)+N64</f>
        <v>-36890768.849492319</v>
      </c>
      <c r="O65" s="128"/>
      <c r="P65" s="128">
        <f t="shared" si="8"/>
        <v>-134613855.29342851</v>
      </c>
      <c r="Q65" s="128"/>
      <c r="R65" s="343"/>
      <c r="S65" s="10"/>
      <c r="T65" s="10"/>
      <c r="U65" s="73"/>
      <c r="V65" s="11"/>
    </row>
    <row r="66" spans="2:22">
      <c r="B66" s="9"/>
      <c r="C66" s="312"/>
      <c r="D66" s="312"/>
      <c r="E66" s="312"/>
      <c r="F66" s="438"/>
      <c r="G66" s="128"/>
      <c r="H66" s="438"/>
      <c r="I66" s="128"/>
      <c r="J66" s="438"/>
      <c r="K66" s="128"/>
      <c r="L66" s="438"/>
      <c r="M66" s="128"/>
      <c r="N66" s="438"/>
      <c r="O66" s="128"/>
      <c r="P66" s="438"/>
      <c r="Q66" s="128"/>
      <c r="R66" s="343"/>
      <c r="S66" s="10"/>
      <c r="T66" s="10"/>
      <c r="U66" s="73"/>
      <c r="V66" s="11"/>
    </row>
    <row r="67" spans="2:22">
      <c r="B67" s="9"/>
      <c r="C67" s="1" t="s">
        <v>539</v>
      </c>
      <c r="F67" s="128">
        <f>SUM(F65:F66)</f>
        <v>-172748592.82130453</v>
      </c>
      <c r="G67" s="128"/>
      <c r="H67" s="128">
        <f>SUM(H65:H66)</f>
        <v>1243968.6783836968</v>
      </c>
      <c r="I67" s="128"/>
      <c r="J67" s="128">
        <f>SUM(J65:J66)</f>
        <v>0</v>
      </c>
      <c r="K67" s="128"/>
      <c r="L67" s="128">
        <f>SUM(L65:L66)</f>
        <v>0</v>
      </c>
      <c r="M67" s="128"/>
      <c r="N67" s="128">
        <f>SUM(N65:N66)</f>
        <v>-36890768.849492319</v>
      </c>
      <c r="O67" s="128"/>
      <c r="P67" s="128">
        <f>SUM(P65:P66)</f>
        <v>-134613855.29342851</v>
      </c>
      <c r="Q67" s="128"/>
      <c r="R67" s="343"/>
      <c r="S67" s="10"/>
      <c r="T67" s="10"/>
      <c r="U67" s="73"/>
      <c r="V67" s="11"/>
    </row>
    <row r="68" spans="2:22">
      <c r="B68" s="9"/>
      <c r="C68" s="1"/>
      <c r="F68" s="128"/>
      <c r="G68" s="128"/>
      <c r="H68" s="128"/>
      <c r="I68" s="128"/>
      <c r="J68" s="128"/>
      <c r="K68" s="128"/>
      <c r="L68" s="128"/>
      <c r="M68" s="128"/>
      <c r="N68" s="128"/>
      <c r="O68" s="128"/>
      <c r="P68" s="128"/>
      <c r="Q68" s="128"/>
      <c r="R68" s="128"/>
      <c r="S68" s="73"/>
      <c r="T68" s="466"/>
      <c r="V68" s="11"/>
    </row>
    <row r="69" spans="2:22">
      <c r="B69" s="9"/>
      <c r="C69" s="469" t="s">
        <v>1559</v>
      </c>
      <c r="D69" s="200" t="s">
        <v>1560</v>
      </c>
      <c r="E69" s="200"/>
      <c r="F69" s="128"/>
      <c r="G69" s="128"/>
      <c r="H69" s="128"/>
      <c r="I69" s="128"/>
      <c r="J69" s="128"/>
      <c r="K69" s="128"/>
      <c r="L69" s="128"/>
      <c r="M69" s="128"/>
      <c r="N69" s="128"/>
      <c r="O69" s="128"/>
      <c r="P69" s="128">
        <f>'Schedule 2 - ADIT'!E33+'Schedule 2 - ADIT'!E43+'Schedule 2 - ADIT'!E48</f>
        <v>-132580259.212124</v>
      </c>
      <c r="Q69" s="128"/>
      <c r="R69" s="128"/>
      <c r="S69" s="466"/>
      <c r="T69" s="466"/>
      <c r="V69" s="11"/>
    </row>
    <row r="70" spans="2:22">
      <c r="B70" s="9"/>
      <c r="C70" s="1"/>
      <c r="F70" s="128"/>
      <c r="G70" s="128"/>
      <c r="H70" s="128"/>
      <c r="I70" s="128"/>
      <c r="J70" s="128"/>
      <c r="K70" s="128"/>
      <c r="L70" s="128"/>
      <c r="M70" s="128"/>
      <c r="N70" s="128"/>
      <c r="O70" s="128"/>
      <c r="P70" s="128"/>
      <c r="Q70" s="128"/>
      <c r="R70" s="128"/>
      <c r="S70" s="73"/>
      <c r="T70" s="466"/>
      <c r="V70" s="11"/>
    </row>
    <row r="71" spans="2:22">
      <c r="B71" s="9"/>
      <c r="C71" s="469" t="s">
        <v>1562</v>
      </c>
      <c r="D71" s="200"/>
      <c r="E71" s="200"/>
      <c r="F71" s="128"/>
      <c r="G71" s="128"/>
      <c r="H71" s="128"/>
      <c r="I71" s="128"/>
      <c r="J71" s="128"/>
      <c r="K71" s="128"/>
      <c r="L71" s="128"/>
      <c r="M71" s="128"/>
      <c r="N71" s="128"/>
      <c r="O71" s="128"/>
      <c r="P71" s="128">
        <f>+P67-P69</f>
        <v>-2033596.0813045055</v>
      </c>
      <c r="Q71" s="128"/>
      <c r="R71" s="128"/>
      <c r="S71" s="73"/>
      <c r="T71" s="466"/>
      <c r="V71" s="11"/>
    </row>
    <row r="72" spans="2:22">
      <c r="B72" s="9"/>
      <c r="C72" s="1"/>
      <c r="F72" s="128"/>
      <c r="G72" s="128"/>
      <c r="H72" s="128"/>
      <c r="I72" s="128"/>
      <c r="J72" s="128"/>
      <c r="K72" s="128"/>
      <c r="L72" s="128"/>
      <c r="M72" s="128"/>
      <c r="N72" s="128"/>
      <c r="O72" s="128"/>
      <c r="P72" s="128"/>
      <c r="Q72" s="128"/>
      <c r="R72" s="128"/>
      <c r="S72" s="73"/>
      <c r="T72" s="466"/>
      <c r="V72" s="11"/>
    </row>
    <row r="73" spans="2:22">
      <c r="B73" s="9"/>
      <c r="C73" s="469" t="s">
        <v>1450</v>
      </c>
      <c r="D73" s="200"/>
      <c r="E73" s="200"/>
      <c r="F73" s="128"/>
      <c r="G73" s="128"/>
      <c r="H73" s="128"/>
      <c r="I73" s="128"/>
      <c r="J73" s="128"/>
      <c r="K73" s="128"/>
      <c r="L73" s="128"/>
      <c r="M73" s="128"/>
      <c r="N73" s="128"/>
      <c r="O73" s="128"/>
      <c r="P73" s="128">
        <f>-((P59-P58)*185/214+(P60-P59)*154/214+(P61-P60)*123/214+(P62-P61)*93/214+(P63-P62)*62/214+(P64-P63)*32/214+(P65-P64)*1/214)</f>
        <v>264059.60594238021</v>
      </c>
      <c r="Q73" s="128"/>
      <c r="R73" s="128"/>
      <c r="S73" s="73"/>
      <c r="T73" s="466"/>
      <c r="V73" s="11"/>
    </row>
    <row r="74" spans="2:22" ht="15.75" thickBot="1">
      <c r="B74" s="14"/>
      <c r="C74" s="470" t="s">
        <v>1188</v>
      </c>
      <c r="D74" s="471"/>
      <c r="E74" s="471"/>
      <c r="F74" s="472"/>
      <c r="G74" s="472"/>
      <c r="H74" s="472"/>
      <c r="I74" s="472"/>
      <c r="J74" s="472"/>
      <c r="K74" s="472"/>
      <c r="L74" s="472"/>
      <c r="M74" s="472"/>
      <c r="N74" s="472"/>
      <c r="O74" s="472"/>
      <c r="P74" s="473">
        <f>+SUM(P71:P73)</f>
        <v>-1769536.4753621253</v>
      </c>
      <c r="Q74" s="474" t="s">
        <v>591</v>
      </c>
      <c r="R74" s="472"/>
      <c r="S74" s="76"/>
      <c r="T74" s="76"/>
      <c r="U74" s="15"/>
      <c r="V74" s="17"/>
    </row>
    <row r="75" spans="2:22">
      <c r="F75" s="10"/>
      <c r="G75" s="73"/>
      <c r="H75" s="10"/>
      <c r="I75" s="73"/>
      <c r="J75" s="10"/>
      <c r="K75" s="73"/>
      <c r="L75" s="73"/>
      <c r="M75" s="73"/>
      <c r="N75" s="10"/>
      <c r="O75" s="73"/>
      <c r="P75" s="10"/>
      <c r="Q75" s="73"/>
      <c r="R75" s="10"/>
      <c r="S75" s="73"/>
      <c r="T75" s="10"/>
    </row>
    <row r="76" spans="2:22">
      <c r="B76" s="93" t="s">
        <v>665</v>
      </c>
      <c r="C76" t="s">
        <v>873</v>
      </c>
      <c r="F76" s="10"/>
      <c r="G76" s="73"/>
      <c r="H76" s="10"/>
      <c r="I76" s="73"/>
      <c r="J76" s="10"/>
      <c r="K76" s="73"/>
      <c r="L76" s="73"/>
      <c r="M76" s="73"/>
      <c r="N76" s="10"/>
      <c r="O76" s="73"/>
      <c r="P76" s="10"/>
      <c r="Q76" s="73"/>
      <c r="R76" s="10"/>
      <c r="S76" s="73"/>
      <c r="T76" s="10"/>
    </row>
    <row r="77" spans="2:22">
      <c r="B77" s="93" t="s">
        <v>666</v>
      </c>
      <c r="C77" t="s">
        <v>874</v>
      </c>
      <c r="F77" s="10"/>
      <c r="G77" s="73"/>
      <c r="H77" s="10"/>
      <c r="I77" s="73"/>
      <c r="J77" s="10"/>
      <c r="K77" s="73"/>
      <c r="L77" s="73"/>
      <c r="M77" s="73"/>
      <c r="N77" s="10"/>
      <c r="O77" s="73"/>
      <c r="P77" s="10"/>
      <c r="Q77" s="73"/>
      <c r="R77" s="10"/>
      <c r="S77" s="73"/>
      <c r="T77" s="10"/>
    </row>
    <row r="78" spans="2:22" ht="15.75" thickBot="1">
      <c r="J78" s="3"/>
    </row>
    <row r="79" spans="2:22">
      <c r="B79" s="5" t="s">
        <v>535</v>
      </c>
      <c r="C79" s="6"/>
      <c r="D79" s="6"/>
      <c r="E79" s="6"/>
      <c r="F79" s="7"/>
      <c r="G79" s="83"/>
      <c r="H79" s="7"/>
      <c r="I79" s="83"/>
      <c r="J79" s="83"/>
      <c r="K79" s="83"/>
      <c r="L79" s="83"/>
      <c r="M79" s="83"/>
      <c r="N79" s="7"/>
      <c r="O79" s="83"/>
      <c r="P79" s="7"/>
      <c r="Q79" s="83"/>
      <c r="R79" s="7"/>
      <c r="S79" s="83"/>
      <c r="T79" s="7"/>
      <c r="U79" s="6"/>
      <c r="V79" s="8"/>
    </row>
    <row r="80" spans="2:22">
      <c r="B80" s="9"/>
      <c r="C80" s="1" t="s">
        <v>238</v>
      </c>
      <c r="F80" s="10"/>
      <c r="G80" s="73"/>
      <c r="H80" s="10"/>
      <c r="I80" s="73"/>
      <c r="J80" s="73"/>
      <c r="K80" s="73"/>
      <c r="L80" s="73"/>
      <c r="M80" s="73"/>
      <c r="N80" s="10"/>
      <c r="O80" s="73"/>
      <c r="P80" s="10"/>
      <c r="Q80" s="73"/>
      <c r="R80" s="10"/>
      <c r="S80" s="73"/>
      <c r="T80" s="10"/>
      <c r="V80" s="11"/>
    </row>
    <row r="81" spans="2:22">
      <c r="B81" s="9"/>
      <c r="C81" s="12" t="s">
        <v>10</v>
      </c>
      <c r="D81" s="12" t="s">
        <v>11</v>
      </c>
      <c r="E81" s="12"/>
      <c r="F81" s="193" t="s">
        <v>12</v>
      </c>
      <c r="G81" s="194"/>
      <c r="H81" s="193" t="s">
        <v>989</v>
      </c>
      <c r="I81" s="194"/>
      <c r="J81" s="194" t="s">
        <v>1452</v>
      </c>
      <c r="K81" s="194"/>
      <c r="L81" s="457" t="s">
        <v>1572</v>
      </c>
      <c r="M81" s="194"/>
      <c r="N81" s="193" t="s">
        <v>1154</v>
      </c>
      <c r="O81" s="194"/>
      <c r="P81" s="193" t="s">
        <v>543</v>
      </c>
      <c r="Q81" s="194"/>
      <c r="R81" s="193"/>
      <c r="S81" s="194"/>
      <c r="T81" s="193"/>
      <c r="V81" s="11"/>
    </row>
    <row r="82" spans="2:22">
      <c r="B82" s="9"/>
      <c r="F82" s="73"/>
      <c r="G82" s="73"/>
      <c r="H82" s="73"/>
      <c r="I82" s="73"/>
      <c r="J82" s="73"/>
      <c r="K82" s="73"/>
      <c r="L82" s="73"/>
      <c r="M82" s="73"/>
      <c r="N82" s="73"/>
      <c r="O82" s="73"/>
      <c r="P82" s="73"/>
      <c r="Q82" s="73"/>
      <c r="R82" s="73"/>
      <c r="S82" s="73"/>
      <c r="T82" s="73"/>
      <c r="V82" s="11"/>
    </row>
    <row r="83" spans="2:22">
      <c r="B83" s="9"/>
      <c r="C83" t="s">
        <v>14</v>
      </c>
      <c r="D83" t="s">
        <v>671</v>
      </c>
      <c r="E83" s="200">
        <v>2025</v>
      </c>
      <c r="F83" s="73">
        <f>+F11*$F$102</f>
        <v>4719292.1310879644</v>
      </c>
      <c r="G83" s="73"/>
      <c r="H83" s="73">
        <f>-('Schedule 1C - Settlement Adjust'!$C$567/12)</f>
        <v>-4104.7740937843764</v>
      </c>
      <c r="I83" s="73"/>
      <c r="J83" s="73">
        <f t="shared" ref="J83:J94" si="9">+J11*$F$102</f>
        <v>0</v>
      </c>
      <c r="K83" s="73"/>
      <c r="L83" s="84">
        <v>0</v>
      </c>
      <c r="M83" s="73"/>
      <c r="N83" s="73">
        <f>'Schedule 13 Direct Assignment'!M70</f>
        <v>976819.84979343391</v>
      </c>
      <c r="O83" s="73"/>
      <c r="P83" s="73">
        <f>+F83+H83+J83+L83-N83</f>
        <v>3738367.5072007459</v>
      </c>
      <c r="Q83" s="73"/>
      <c r="R83" s="73"/>
      <c r="S83" s="73"/>
      <c r="T83" s="73"/>
      <c r="V83" s="11"/>
    </row>
    <row r="84" spans="2:22">
      <c r="B84" s="9"/>
      <c r="C84" t="s">
        <v>15</v>
      </c>
      <c r="D84" t="s">
        <v>671</v>
      </c>
      <c r="E84" s="200">
        <v>2025</v>
      </c>
      <c r="F84" s="73">
        <f t="shared" ref="F84:F94" si="10">+F12*$F$102</f>
        <v>4746592.9255955517</v>
      </c>
      <c r="G84" s="73"/>
      <c r="H84" s="73">
        <f>-('Schedule 1C - Settlement Adjust'!$C$567/12)</f>
        <v>-4104.7740937843764</v>
      </c>
      <c r="I84" s="73"/>
      <c r="J84" s="73">
        <f t="shared" si="9"/>
        <v>0</v>
      </c>
      <c r="K84" s="73"/>
      <c r="L84" s="84">
        <v>0</v>
      </c>
      <c r="M84" s="73"/>
      <c r="N84" s="73">
        <f>N83</f>
        <v>976819.84979343391</v>
      </c>
      <c r="O84" s="73"/>
      <c r="P84" s="73">
        <f t="shared" ref="P84:P94" si="11">+F84+H84+J84+L84-N84</f>
        <v>3765668.3017083332</v>
      </c>
      <c r="Q84" s="73"/>
      <c r="R84" s="73"/>
      <c r="S84" s="73"/>
      <c r="T84" s="73"/>
      <c r="V84" s="11"/>
    </row>
    <row r="85" spans="2:22">
      <c r="B85" s="9"/>
      <c r="C85" t="s">
        <v>16</v>
      </c>
      <c r="D85" t="s">
        <v>671</v>
      </c>
      <c r="E85" s="200">
        <v>2025</v>
      </c>
      <c r="F85" s="73">
        <f t="shared" si="10"/>
        <v>4890254.4925110256</v>
      </c>
      <c r="G85" s="73"/>
      <c r="H85" s="73">
        <f>-('Schedule 1C - Settlement Adjust'!$C$567/12)</f>
        <v>-4104.7740937843764</v>
      </c>
      <c r="I85" s="73"/>
      <c r="J85" s="73">
        <f t="shared" si="9"/>
        <v>0</v>
      </c>
      <c r="K85" s="73"/>
      <c r="L85" s="84">
        <v>0</v>
      </c>
      <c r="M85" s="73"/>
      <c r="N85" s="73">
        <f>N84</f>
        <v>976819.84979343391</v>
      </c>
      <c r="O85" s="73"/>
      <c r="P85" s="73">
        <f t="shared" si="11"/>
        <v>3909329.8686238071</v>
      </c>
      <c r="Q85" s="73"/>
      <c r="R85" s="73"/>
      <c r="S85" s="73"/>
      <c r="T85" s="73"/>
      <c r="V85" s="11"/>
    </row>
    <row r="86" spans="2:22">
      <c r="B86" s="9"/>
      <c r="C86" t="s">
        <v>17</v>
      </c>
      <c r="D86" t="s">
        <v>671</v>
      </c>
      <c r="E86" s="200">
        <v>2025</v>
      </c>
      <c r="F86" s="73">
        <f t="shared" si="10"/>
        <v>4898073.1013093004</v>
      </c>
      <c r="G86" s="73"/>
      <c r="H86" s="73">
        <f>-('Schedule 1C - Settlement Adjust'!$C$567/12)</f>
        <v>-4104.7740937843764</v>
      </c>
      <c r="I86" s="73"/>
      <c r="J86" s="73">
        <f t="shared" si="9"/>
        <v>0</v>
      </c>
      <c r="K86" s="73"/>
      <c r="L86" s="84">
        <v>0</v>
      </c>
      <c r="M86" s="73"/>
      <c r="N86" s="73">
        <f t="shared" ref="N86:N94" si="12">N85</f>
        <v>976819.84979343391</v>
      </c>
      <c r="O86" s="73"/>
      <c r="P86" s="73">
        <f t="shared" si="11"/>
        <v>3917148.4774220819</v>
      </c>
      <c r="Q86" s="73"/>
      <c r="R86" s="73"/>
      <c r="S86" s="73"/>
      <c r="T86" s="73"/>
      <c r="V86" s="11"/>
    </row>
    <row r="87" spans="2:22">
      <c r="B87" s="9"/>
      <c r="C87" t="s">
        <v>18</v>
      </c>
      <c r="D87" t="s">
        <v>671</v>
      </c>
      <c r="E87" s="200">
        <v>2025</v>
      </c>
      <c r="F87" s="73">
        <f t="shared" si="10"/>
        <v>4906681.3821978839</v>
      </c>
      <c r="G87" s="73"/>
      <c r="H87" s="73">
        <f>-('Schedule 1C - Settlement Adjust'!$C$567/12)</f>
        <v>-4104.7740937843764</v>
      </c>
      <c r="I87" s="73"/>
      <c r="J87" s="73">
        <f t="shared" si="9"/>
        <v>0</v>
      </c>
      <c r="K87" s="73"/>
      <c r="L87" s="84">
        <v>0</v>
      </c>
      <c r="M87" s="73"/>
      <c r="N87" s="73">
        <f t="shared" si="12"/>
        <v>976819.84979343391</v>
      </c>
      <c r="O87" s="73"/>
      <c r="P87" s="73">
        <f t="shared" si="11"/>
        <v>3925756.7583106654</v>
      </c>
      <c r="Q87" s="73"/>
      <c r="R87" s="73"/>
      <c r="S87" s="73"/>
      <c r="T87" s="73"/>
      <c r="V87" s="11"/>
    </row>
    <row r="88" spans="2:22">
      <c r="B88" s="9"/>
      <c r="C88" t="s">
        <v>19</v>
      </c>
      <c r="D88" t="s">
        <v>671</v>
      </c>
      <c r="E88" s="200">
        <v>2025</v>
      </c>
      <c r="F88" s="73">
        <f t="shared" si="10"/>
        <v>4924934.6228170767</v>
      </c>
      <c r="G88" s="73"/>
      <c r="H88" s="73">
        <f>-('Schedule 1C - Settlement Adjust'!$C$567/12)</f>
        <v>-4104.7740937843764</v>
      </c>
      <c r="I88" s="73"/>
      <c r="J88" s="73">
        <f t="shared" si="9"/>
        <v>0</v>
      </c>
      <c r="K88" s="73"/>
      <c r="L88" s="84">
        <v>0</v>
      </c>
      <c r="M88" s="73"/>
      <c r="N88" s="73">
        <f t="shared" si="12"/>
        <v>976819.84979343391</v>
      </c>
      <c r="O88" s="73"/>
      <c r="P88" s="73">
        <f t="shared" si="11"/>
        <v>3944009.9989298582</v>
      </c>
      <c r="Q88" s="73"/>
      <c r="R88" s="73"/>
      <c r="S88" s="73"/>
      <c r="T88" s="214"/>
      <c r="U88" s="215"/>
      <c r="V88" s="216"/>
    </row>
    <row r="89" spans="2:22">
      <c r="B89" s="9"/>
      <c r="C89" t="s">
        <v>20</v>
      </c>
      <c r="D89" t="s">
        <v>671</v>
      </c>
      <c r="E89" s="200">
        <v>2025</v>
      </c>
      <c r="F89" s="73">
        <f t="shared" si="10"/>
        <v>4934560.8769325521</v>
      </c>
      <c r="G89" s="73"/>
      <c r="H89" s="73">
        <f>-('Schedule 1C - Settlement Adjust'!$C$567/12)</f>
        <v>-4104.7740937843764</v>
      </c>
      <c r="I89" s="73"/>
      <c r="J89" s="73">
        <f t="shared" si="9"/>
        <v>0</v>
      </c>
      <c r="K89" s="73"/>
      <c r="L89" s="84">
        <v>0</v>
      </c>
      <c r="M89" s="73"/>
      <c r="N89" s="73">
        <f t="shared" si="12"/>
        <v>976819.84979343391</v>
      </c>
      <c r="O89" s="73"/>
      <c r="P89" s="73">
        <f t="shared" si="11"/>
        <v>3953636.2530453335</v>
      </c>
      <c r="Q89" s="73"/>
      <c r="R89" s="73"/>
      <c r="S89" s="73"/>
      <c r="T89" s="213"/>
      <c r="U89" s="215"/>
      <c r="V89" s="216"/>
    </row>
    <row r="90" spans="2:22">
      <c r="B90" s="9"/>
      <c r="C90" t="s">
        <v>21</v>
      </c>
      <c r="D90" t="s">
        <v>671</v>
      </c>
      <c r="E90" s="200">
        <v>2025</v>
      </c>
      <c r="F90" s="73">
        <f t="shared" si="10"/>
        <v>4953507.1933469009</v>
      </c>
      <c r="G90" s="73"/>
      <c r="H90" s="73">
        <f>-('Schedule 1C - Settlement Adjust'!$C$567/12)</f>
        <v>-4104.7740937843764</v>
      </c>
      <c r="I90" s="73"/>
      <c r="J90" s="73">
        <f t="shared" si="9"/>
        <v>0</v>
      </c>
      <c r="K90" s="73"/>
      <c r="L90" s="84">
        <v>0</v>
      </c>
      <c r="M90" s="73"/>
      <c r="N90" s="73">
        <f t="shared" si="12"/>
        <v>976819.84979343391</v>
      </c>
      <c r="O90" s="73"/>
      <c r="P90" s="73">
        <f t="shared" si="11"/>
        <v>3972582.5694596823</v>
      </c>
      <c r="Q90" s="73"/>
      <c r="R90" s="73"/>
      <c r="S90" s="73"/>
      <c r="T90" s="73"/>
      <c r="V90" s="11"/>
    </row>
    <row r="91" spans="2:22">
      <c r="B91" s="9"/>
      <c r="C91" t="s">
        <v>22</v>
      </c>
      <c r="D91" t="s">
        <v>671</v>
      </c>
      <c r="E91" s="200">
        <v>2025</v>
      </c>
      <c r="F91" s="73">
        <f t="shared" si="10"/>
        <v>4957503.4352048738</v>
      </c>
      <c r="G91" s="73"/>
      <c r="H91" s="73">
        <f>-('Schedule 1C - Settlement Adjust'!$C$567/12)</f>
        <v>-4104.7740937843764</v>
      </c>
      <c r="I91" s="73"/>
      <c r="J91" s="73">
        <f t="shared" si="9"/>
        <v>0</v>
      </c>
      <c r="K91" s="73"/>
      <c r="L91" s="84">
        <v>0</v>
      </c>
      <c r="M91" s="73"/>
      <c r="N91" s="73">
        <f t="shared" si="12"/>
        <v>976819.84979343391</v>
      </c>
      <c r="O91" s="73"/>
      <c r="P91" s="73">
        <f t="shared" si="11"/>
        <v>3976578.8113176553</v>
      </c>
      <c r="Q91" s="73"/>
      <c r="R91" s="73"/>
      <c r="S91" s="73"/>
      <c r="T91" s="73"/>
      <c r="V91" s="11"/>
    </row>
    <row r="92" spans="2:22">
      <c r="B92" s="9"/>
      <c r="C92" t="s">
        <v>23</v>
      </c>
      <c r="D92" t="s">
        <v>671</v>
      </c>
      <c r="E92" s="200">
        <v>2025</v>
      </c>
      <c r="F92" s="73">
        <f t="shared" si="10"/>
        <v>4957356.61004279</v>
      </c>
      <c r="G92" s="73"/>
      <c r="H92" s="73">
        <f>-('Schedule 1C - Settlement Adjust'!$C$567/12)</f>
        <v>-4104.7740937843764</v>
      </c>
      <c r="I92" s="73"/>
      <c r="J92" s="73">
        <f t="shared" si="9"/>
        <v>0</v>
      </c>
      <c r="K92" s="73"/>
      <c r="L92" s="84">
        <v>0</v>
      </c>
      <c r="M92" s="73"/>
      <c r="N92" s="73">
        <f t="shared" si="12"/>
        <v>976819.84979343391</v>
      </c>
      <c r="O92" s="73"/>
      <c r="P92" s="73">
        <f t="shared" si="11"/>
        <v>3976431.9861555714</v>
      </c>
      <c r="Q92" s="73"/>
      <c r="R92" s="73"/>
      <c r="S92" s="73"/>
      <c r="T92" s="73"/>
      <c r="V92" s="11"/>
    </row>
    <row r="93" spans="2:22">
      <c r="B93" s="9"/>
      <c r="C93" t="s">
        <v>24</v>
      </c>
      <c r="D93" t="s">
        <v>671</v>
      </c>
      <c r="E93" s="200">
        <v>2025</v>
      </c>
      <c r="F93" s="73">
        <f t="shared" si="10"/>
        <v>5154943.1190279713</v>
      </c>
      <c r="G93" s="73"/>
      <c r="H93" s="73">
        <f>-('Schedule 1C - Settlement Adjust'!$C$567/12)</f>
        <v>-4104.7740937843764</v>
      </c>
      <c r="I93" s="73"/>
      <c r="J93" s="73">
        <f t="shared" si="9"/>
        <v>0</v>
      </c>
      <c r="K93" s="73"/>
      <c r="L93" s="84">
        <v>0</v>
      </c>
      <c r="M93" s="73"/>
      <c r="N93" s="73">
        <f t="shared" si="12"/>
        <v>976819.84979343391</v>
      </c>
      <c r="O93" s="73"/>
      <c r="P93" s="73">
        <f t="shared" si="11"/>
        <v>4174018.4951407528</v>
      </c>
      <c r="Q93" s="73"/>
      <c r="R93" s="73"/>
      <c r="S93" s="73"/>
      <c r="T93" s="73"/>
      <c r="V93" s="11"/>
    </row>
    <row r="94" spans="2:22">
      <c r="B94" s="9"/>
      <c r="C94" t="s">
        <v>13</v>
      </c>
      <c r="D94" t="s">
        <v>671</v>
      </c>
      <c r="E94" s="200">
        <v>2025</v>
      </c>
      <c r="F94" s="73">
        <f t="shared" si="10"/>
        <v>5154868.4506934192</v>
      </c>
      <c r="G94" s="126"/>
      <c r="H94" s="73">
        <f>-('Schedule 1C - Settlement Adjust'!$C$567/12)</f>
        <v>-4104.7740937843764</v>
      </c>
      <c r="I94" s="126"/>
      <c r="J94" s="73">
        <f t="shared" si="9"/>
        <v>0</v>
      </c>
      <c r="K94" s="126"/>
      <c r="L94" s="277">
        <v>0</v>
      </c>
      <c r="M94" s="126"/>
      <c r="N94" s="126">
        <f t="shared" si="12"/>
        <v>976819.84979343391</v>
      </c>
      <c r="O94" s="126"/>
      <c r="P94" s="73">
        <f t="shared" si="11"/>
        <v>4173943.8268062007</v>
      </c>
      <c r="Q94" s="73"/>
      <c r="R94" s="73"/>
      <c r="S94" s="73"/>
      <c r="T94" s="73"/>
      <c r="V94" s="11"/>
    </row>
    <row r="95" spans="2:22">
      <c r="B95" s="9"/>
      <c r="C95" s="1" t="s">
        <v>536</v>
      </c>
      <c r="F95" s="252">
        <f>SUM(F82:F94)</f>
        <v>59198568.340767309</v>
      </c>
      <c r="G95" s="73"/>
      <c r="H95" s="252">
        <f>SUM(H82:H94)</f>
        <v>-49257.289125412521</v>
      </c>
      <c r="I95" s="73"/>
      <c r="J95" s="117">
        <f>SUM(J82:J94)</f>
        <v>0</v>
      </c>
      <c r="K95" s="73"/>
      <c r="L95" s="73">
        <f>AVERAGE(L82:L94)</f>
        <v>0</v>
      </c>
      <c r="M95" s="73"/>
      <c r="N95" s="252">
        <f>SUM(N82:N94)</f>
        <v>11721838.197521208</v>
      </c>
      <c r="O95" s="73"/>
      <c r="P95" s="252">
        <f>SUM(P82:P94)</f>
        <v>47427472.854120687</v>
      </c>
      <c r="Q95" s="73"/>
      <c r="R95" s="10"/>
      <c r="S95" s="73"/>
      <c r="T95" s="10"/>
      <c r="V95" s="11"/>
    </row>
    <row r="96" spans="2:22">
      <c r="B96" s="9"/>
      <c r="C96" s="1"/>
      <c r="F96" s="10"/>
      <c r="G96" s="73"/>
      <c r="H96" s="10"/>
      <c r="I96" s="73"/>
      <c r="J96" s="73"/>
      <c r="K96" s="73"/>
      <c r="L96" s="73"/>
      <c r="M96" s="73"/>
      <c r="N96" s="10"/>
      <c r="O96" s="73"/>
      <c r="P96" s="10"/>
      <c r="Q96" s="73"/>
      <c r="R96" s="10"/>
      <c r="S96" s="73"/>
      <c r="T96" s="10"/>
      <c r="V96" s="11"/>
    </row>
    <row r="97" spans="2:24">
      <c r="B97" s="9"/>
      <c r="C97" s="1" t="s">
        <v>983</v>
      </c>
      <c r="D97" t="s">
        <v>239</v>
      </c>
      <c r="E97" s="200">
        <v>2024</v>
      </c>
      <c r="F97" s="73">
        <f>+'Attachment H-1'!H132</f>
        <v>50055374</v>
      </c>
      <c r="G97" s="73"/>
      <c r="H97" s="73">
        <f>-'Attachment H-1'!H135</f>
        <v>-49257.289125412513</v>
      </c>
      <c r="I97" s="73"/>
      <c r="J97" s="128">
        <v>0</v>
      </c>
      <c r="K97" s="73"/>
      <c r="L97" s="73"/>
      <c r="M97" s="73"/>
      <c r="N97" s="10">
        <f>+'Attachment H-1'!H136</f>
        <v>11705008.269159239</v>
      </c>
      <c r="O97" s="73"/>
      <c r="P97" s="73">
        <f>+F97+H97+J97-N97</f>
        <v>38301108.441715345</v>
      </c>
      <c r="Q97" s="73"/>
      <c r="R97" s="10"/>
      <c r="S97" s="73"/>
      <c r="T97" s="10"/>
      <c r="V97" s="11"/>
    </row>
    <row r="98" spans="2:24">
      <c r="B98" s="9"/>
      <c r="C98" s="1"/>
      <c r="F98" s="10"/>
      <c r="G98" s="73"/>
      <c r="H98" s="10"/>
      <c r="I98" s="73"/>
      <c r="J98" s="73"/>
      <c r="K98" s="73"/>
      <c r="L98" s="73"/>
      <c r="M98" s="73"/>
      <c r="N98" s="10"/>
      <c r="O98" s="73"/>
      <c r="P98" s="10"/>
      <c r="Q98" s="73"/>
      <c r="R98" s="10"/>
      <c r="S98" s="73"/>
      <c r="T98" s="10"/>
      <c r="V98" s="11"/>
    </row>
    <row r="99" spans="2:24">
      <c r="B99" s="9"/>
      <c r="C99" s="1"/>
      <c r="F99"/>
      <c r="G99"/>
      <c r="H99"/>
      <c r="I99"/>
      <c r="J99"/>
      <c r="K99"/>
      <c r="L99"/>
      <c r="M99"/>
      <c r="N99"/>
      <c r="O99" s="73"/>
      <c r="P99" s="73">
        <f>+P95-P97</f>
        <v>9126364.4124053419</v>
      </c>
      <c r="Q99" t="s">
        <v>606</v>
      </c>
      <c r="R99" s="10"/>
      <c r="S99" s="73"/>
      <c r="T99" s="10"/>
      <c r="V99" s="11"/>
    </row>
    <row r="100" spans="2:24" ht="15.75" thickBot="1">
      <c r="B100" s="14"/>
      <c r="C100" s="15"/>
      <c r="D100" s="15"/>
      <c r="E100" s="15"/>
      <c r="F100" s="16"/>
      <c r="G100" s="76"/>
      <c r="H100" s="16"/>
      <c r="I100" s="76"/>
      <c r="J100" s="76"/>
      <c r="K100" s="76"/>
      <c r="L100" s="76"/>
      <c r="M100" s="76"/>
      <c r="N100" s="16"/>
      <c r="O100" s="76"/>
      <c r="P100" s="16"/>
      <c r="Q100" s="76"/>
      <c r="R100" s="16"/>
      <c r="S100" s="76"/>
      <c r="T100" s="16"/>
      <c r="U100" s="15"/>
      <c r="V100" s="17"/>
    </row>
    <row r="101" spans="2:24" ht="15.75" thickBot="1">
      <c r="H101" s="12" t="s">
        <v>11</v>
      </c>
      <c r="J101" s="3"/>
    </row>
    <row r="102" spans="2:24" ht="15.75" thickBot="1">
      <c r="B102" s="1" t="s">
        <v>537</v>
      </c>
      <c r="F102" s="495">
        <v>2.2343573409775962E-3</v>
      </c>
      <c r="H102" s="131" t="s">
        <v>1435</v>
      </c>
      <c r="J102" s="69"/>
      <c r="N102" s="69"/>
      <c r="W102" s="69"/>
      <c r="X102" s="97"/>
    </row>
    <row r="103" spans="2:24">
      <c r="B103" s="1"/>
      <c r="F103" s="187"/>
      <c r="J103" s="3"/>
    </row>
    <row r="104" spans="2:24">
      <c r="B104" s="93" t="s">
        <v>667</v>
      </c>
      <c r="C104" t="s">
        <v>668</v>
      </c>
      <c r="F104" s="187"/>
      <c r="J104" s="3"/>
    </row>
    <row r="105" spans="2:24" ht="15.75" thickBot="1">
      <c r="B105" s="1"/>
      <c r="C105" t="s">
        <v>1566</v>
      </c>
      <c r="F105" s="187"/>
      <c r="H105" s="131"/>
      <c r="N105" s="131"/>
      <c r="P105" s="131"/>
      <c r="R105" s="131"/>
      <c r="T105" s="131"/>
    </row>
    <row r="106" spans="2:24">
      <c r="B106" s="5" t="s">
        <v>758</v>
      </c>
      <c r="C106" s="6"/>
      <c r="D106" s="6"/>
      <c r="E106" s="6"/>
      <c r="F106" s="83"/>
      <c r="G106" s="83"/>
      <c r="H106" s="83"/>
      <c r="I106" s="83"/>
      <c r="J106" s="83"/>
      <c r="K106" s="83"/>
      <c r="L106" s="83"/>
      <c r="M106" s="83"/>
      <c r="N106" s="83"/>
      <c r="O106" s="83"/>
      <c r="P106" s="83"/>
      <c r="Q106" s="83"/>
      <c r="R106" s="83"/>
      <c r="S106" s="83"/>
      <c r="T106" s="7"/>
      <c r="U106" s="6"/>
      <c r="V106" s="8"/>
    </row>
    <row r="107" spans="2:24">
      <c r="B107" s="9"/>
      <c r="C107" s="1" t="s">
        <v>540</v>
      </c>
      <c r="F107" s="73"/>
      <c r="G107" s="73"/>
      <c r="H107" s="73"/>
      <c r="I107" s="73"/>
      <c r="J107" s="73"/>
      <c r="K107" s="73"/>
      <c r="L107" s="73"/>
      <c r="M107" s="73"/>
      <c r="N107" s="73"/>
      <c r="O107" s="73"/>
      <c r="P107" s="73"/>
      <c r="Q107" s="73"/>
      <c r="R107" s="73"/>
      <c r="S107" s="73"/>
      <c r="T107" s="10"/>
      <c r="V107" s="11"/>
    </row>
    <row r="108" spans="2:24">
      <c r="B108" s="9"/>
      <c r="C108" s="12" t="s">
        <v>10</v>
      </c>
      <c r="D108" s="12" t="s">
        <v>11</v>
      </c>
      <c r="E108" s="12"/>
      <c r="F108" s="344" t="s">
        <v>12</v>
      </c>
      <c r="G108" s="344"/>
      <c r="H108" s="344" t="s">
        <v>989</v>
      </c>
      <c r="I108" s="344"/>
      <c r="J108" s="344" t="s">
        <v>1452</v>
      </c>
      <c r="K108" s="344"/>
      <c r="L108" s="457" t="s">
        <v>1572</v>
      </c>
      <c r="M108" s="344"/>
      <c r="N108" s="344" t="s">
        <v>1154</v>
      </c>
      <c r="O108" s="344"/>
      <c r="P108" s="344" t="s">
        <v>543</v>
      </c>
      <c r="Q108" s="133"/>
      <c r="R108" s="133"/>
      <c r="S108" s="133"/>
      <c r="T108" s="13"/>
      <c r="U108" s="13"/>
      <c r="V108" s="11"/>
    </row>
    <row r="109" spans="2:24">
      <c r="B109" s="9"/>
      <c r="F109" s="73"/>
      <c r="G109" s="73"/>
      <c r="H109" s="73"/>
      <c r="I109" s="73"/>
      <c r="J109" s="73"/>
      <c r="K109" s="73"/>
      <c r="L109" s="73"/>
      <c r="M109" s="73"/>
      <c r="N109" s="73"/>
      <c r="O109" s="73"/>
      <c r="P109" s="73"/>
      <c r="Q109" s="73"/>
      <c r="R109" s="73"/>
      <c r="S109" s="73"/>
      <c r="T109" s="73"/>
      <c r="U109" s="73"/>
      <c r="V109" s="11"/>
    </row>
    <row r="110" spans="2:24">
      <c r="B110" s="9"/>
      <c r="C110" t="s">
        <v>14</v>
      </c>
      <c r="D110" t="s">
        <v>671</v>
      </c>
      <c r="E110">
        <v>1</v>
      </c>
      <c r="F110" s="128">
        <f>(+F12-F11)*$U$110</f>
        <v>610931.69849998958</v>
      </c>
      <c r="G110" s="128"/>
      <c r="H110" s="128">
        <f>(+H12-H11)*$U$110</f>
        <v>0</v>
      </c>
      <c r="I110" s="128"/>
      <c r="J110" s="128">
        <f>(+J12-J11)*$U$110</f>
        <v>0</v>
      </c>
      <c r="K110" s="128"/>
      <c r="L110" s="436">
        <v>0</v>
      </c>
      <c r="M110" s="128"/>
      <c r="N110" s="128">
        <f>(+N12-N11)*$U$110</f>
        <v>0</v>
      </c>
      <c r="O110" s="128"/>
      <c r="P110" s="128">
        <f>+F110+H110+J110+L110-N110</f>
        <v>610931.69849998958</v>
      </c>
      <c r="Q110" s="73"/>
      <c r="R110" s="128" t="s">
        <v>1564</v>
      </c>
      <c r="S110" s="128"/>
      <c r="T110" s="73"/>
      <c r="U110" s="475">
        <v>0.05</v>
      </c>
      <c r="V110" s="11"/>
      <c r="X110" s="312"/>
    </row>
    <row r="111" spans="2:24">
      <c r="B111" s="9"/>
      <c r="C111" t="s">
        <v>15</v>
      </c>
      <c r="D111" t="s">
        <v>671</v>
      </c>
      <c r="E111">
        <v>2</v>
      </c>
      <c r="F111" s="128">
        <f t="shared" ref="F111:F121" si="13">(+F13-F12)*$U$110</f>
        <v>3214829.7024999857</v>
      </c>
      <c r="G111" s="128"/>
      <c r="H111" s="128">
        <f t="shared" ref="H111:H121" si="14">(+H13-H12)*$U$110</f>
        <v>0</v>
      </c>
      <c r="I111" s="128"/>
      <c r="J111" s="128">
        <f t="shared" ref="J111:J121" si="15">(+J13-J12)*$U$110</f>
        <v>0</v>
      </c>
      <c r="K111" s="128"/>
      <c r="L111" s="436">
        <v>0</v>
      </c>
      <c r="M111" s="128"/>
      <c r="N111" s="128">
        <f t="shared" ref="N111:N121" si="16">(+N13-N12)*$U$110</f>
        <v>0</v>
      </c>
      <c r="O111" s="128"/>
      <c r="P111" s="128">
        <f t="shared" ref="P111:P121" si="17">+F111+H111+J111+L111-N111</f>
        <v>3214829.7024999857</v>
      </c>
      <c r="Q111" s="73"/>
      <c r="R111" s="73"/>
      <c r="S111" s="73"/>
      <c r="T111" s="73"/>
      <c r="U111" s="73"/>
      <c r="V111" s="11"/>
    </row>
    <row r="112" spans="2:24">
      <c r="B112" s="9"/>
      <c r="C112" t="s">
        <v>16</v>
      </c>
      <c r="D112" t="s">
        <v>671</v>
      </c>
      <c r="E112">
        <v>3</v>
      </c>
      <c r="F112" s="128">
        <f t="shared" si="13"/>
        <v>174963.25800004008</v>
      </c>
      <c r="G112" s="128"/>
      <c r="H112" s="128">
        <f t="shared" si="14"/>
        <v>0</v>
      </c>
      <c r="I112" s="128"/>
      <c r="J112" s="128">
        <f t="shared" si="15"/>
        <v>0</v>
      </c>
      <c r="K112" s="128"/>
      <c r="L112" s="436">
        <v>0</v>
      </c>
      <c r="M112" s="128"/>
      <c r="N112" s="128">
        <f t="shared" si="16"/>
        <v>0</v>
      </c>
      <c r="O112" s="128"/>
      <c r="P112" s="128">
        <f t="shared" si="17"/>
        <v>174963.25800004008</v>
      </c>
      <c r="Q112" s="73"/>
      <c r="R112" s="73"/>
      <c r="S112" s="73"/>
      <c r="T112" s="73"/>
      <c r="U112" s="73"/>
      <c r="V112" s="11"/>
    </row>
    <row r="113" spans="2:22">
      <c r="B113" s="9"/>
      <c r="C113" t="s">
        <v>17</v>
      </c>
      <c r="D113" t="s">
        <v>671</v>
      </c>
      <c r="E113">
        <v>4</v>
      </c>
      <c r="F113" s="128">
        <f t="shared" si="13"/>
        <v>192634.38149998189</v>
      </c>
      <c r="G113" s="128"/>
      <c r="H113" s="128">
        <f t="shared" si="14"/>
        <v>0</v>
      </c>
      <c r="I113" s="128"/>
      <c r="J113" s="128">
        <f t="shared" si="15"/>
        <v>0</v>
      </c>
      <c r="K113" s="128"/>
      <c r="L113" s="436">
        <v>0</v>
      </c>
      <c r="M113" s="128"/>
      <c r="N113" s="128">
        <f t="shared" si="16"/>
        <v>0</v>
      </c>
      <c r="O113" s="128"/>
      <c r="P113" s="128">
        <f t="shared" si="17"/>
        <v>192634.38149998189</v>
      </c>
      <c r="Q113" s="73"/>
      <c r="R113" s="73"/>
      <c r="S113" s="73"/>
      <c r="T113" s="73"/>
      <c r="U113" s="73"/>
      <c r="V113" s="11"/>
    </row>
    <row r="114" spans="2:22">
      <c r="B114" s="9"/>
      <c r="C114" t="s">
        <v>18</v>
      </c>
      <c r="D114" t="s">
        <v>671</v>
      </c>
      <c r="E114">
        <v>5</v>
      </c>
      <c r="F114" s="128">
        <f t="shared" si="13"/>
        <v>408467.35400002007</v>
      </c>
      <c r="G114" s="128"/>
      <c r="H114" s="128">
        <f t="shared" si="14"/>
        <v>0</v>
      </c>
      <c r="I114" s="128"/>
      <c r="J114" s="128">
        <f t="shared" si="15"/>
        <v>0</v>
      </c>
      <c r="K114" s="128"/>
      <c r="L114" s="436">
        <v>0</v>
      </c>
      <c r="M114" s="128"/>
      <c r="N114" s="128">
        <f t="shared" si="16"/>
        <v>0</v>
      </c>
      <c r="O114" s="128"/>
      <c r="P114" s="128">
        <f t="shared" si="17"/>
        <v>408467.35400002007</v>
      </c>
      <c r="Q114" s="73"/>
      <c r="R114" s="73"/>
      <c r="S114" s="73"/>
      <c r="T114" s="73"/>
      <c r="U114" s="73"/>
      <c r="V114" s="11"/>
    </row>
    <row r="115" spans="2:22">
      <c r="B115" s="9"/>
      <c r="C115" t="s">
        <v>19</v>
      </c>
      <c r="D115" t="s">
        <v>671</v>
      </c>
      <c r="E115">
        <v>6</v>
      </c>
      <c r="F115" s="128">
        <f t="shared" si="13"/>
        <v>215414.38199996948</v>
      </c>
      <c r="G115" s="128"/>
      <c r="H115" s="128">
        <f t="shared" si="14"/>
        <v>0</v>
      </c>
      <c r="I115" s="128"/>
      <c r="J115" s="128">
        <f t="shared" si="15"/>
        <v>0</v>
      </c>
      <c r="K115" s="128"/>
      <c r="L115" s="436">
        <v>0</v>
      </c>
      <c r="M115" s="128"/>
      <c r="N115" s="128">
        <f t="shared" si="16"/>
        <v>0</v>
      </c>
      <c r="O115" s="128"/>
      <c r="P115" s="128">
        <f t="shared" si="17"/>
        <v>215414.38199996948</v>
      </c>
      <c r="Q115" s="73"/>
      <c r="R115" s="73"/>
      <c r="S115" s="73"/>
      <c r="T115" s="73"/>
      <c r="U115" s="73"/>
      <c r="V115" s="11"/>
    </row>
    <row r="116" spans="2:22">
      <c r="B116" s="9"/>
      <c r="C116" t="s">
        <v>20</v>
      </c>
      <c r="D116" t="s">
        <v>671</v>
      </c>
      <c r="E116">
        <v>7</v>
      </c>
      <c r="F116" s="128">
        <f t="shared" si="13"/>
        <v>423976.86500000954</v>
      </c>
      <c r="G116" s="128"/>
      <c r="H116" s="128">
        <f t="shared" si="14"/>
        <v>0</v>
      </c>
      <c r="I116" s="128"/>
      <c r="J116" s="128">
        <f t="shared" si="15"/>
        <v>0</v>
      </c>
      <c r="K116" s="128"/>
      <c r="L116" s="436">
        <v>0</v>
      </c>
      <c r="M116" s="128"/>
      <c r="N116" s="128">
        <f t="shared" si="16"/>
        <v>0</v>
      </c>
      <c r="O116" s="128"/>
      <c r="P116" s="128">
        <f t="shared" si="17"/>
        <v>423976.86500000954</v>
      </c>
      <c r="Q116" s="73"/>
      <c r="R116" s="73"/>
      <c r="S116" s="73"/>
      <c r="T116" s="73"/>
      <c r="U116" s="73"/>
      <c r="V116" s="11"/>
    </row>
    <row r="117" spans="2:22">
      <c r="B117" s="9"/>
      <c r="C117" t="s">
        <v>21</v>
      </c>
      <c r="D117" t="s">
        <v>671</v>
      </c>
      <c r="E117">
        <v>8</v>
      </c>
      <c r="F117" s="128">
        <f t="shared" si="13"/>
        <v>89427.098000001919</v>
      </c>
      <c r="G117" s="128"/>
      <c r="H117" s="128">
        <f t="shared" si="14"/>
        <v>0</v>
      </c>
      <c r="I117" s="128"/>
      <c r="J117" s="128">
        <f t="shared" si="15"/>
        <v>0</v>
      </c>
      <c r="K117" s="128"/>
      <c r="L117" s="436">
        <v>0</v>
      </c>
      <c r="M117" s="128"/>
      <c r="N117" s="128">
        <f t="shared" si="16"/>
        <v>0</v>
      </c>
      <c r="O117" s="128"/>
      <c r="P117" s="128">
        <f t="shared" si="17"/>
        <v>89427.098000001919</v>
      </c>
      <c r="Q117" s="73"/>
      <c r="R117" s="73"/>
      <c r="S117" s="73"/>
      <c r="T117" s="73"/>
      <c r="U117" s="73"/>
      <c r="V117" s="11"/>
    </row>
    <row r="118" spans="2:22">
      <c r="B118" s="9"/>
      <c r="C118" t="s">
        <v>22</v>
      </c>
      <c r="D118" t="s">
        <v>671</v>
      </c>
      <c r="E118">
        <v>9</v>
      </c>
      <c r="F118" s="128">
        <f t="shared" si="13"/>
        <v>-3285.6240000247958</v>
      </c>
      <c r="G118" s="128"/>
      <c r="H118" s="128">
        <f t="shared" si="14"/>
        <v>0</v>
      </c>
      <c r="I118" s="128"/>
      <c r="J118" s="128">
        <f t="shared" si="15"/>
        <v>0</v>
      </c>
      <c r="K118" s="128"/>
      <c r="L118" s="436">
        <v>0</v>
      </c>
      <c r="M118" s="128"/>
      <c r="N118" s="128">
        <f t="shared" si="16"/>
        <v>0</v>
      </c>
      <c r="O118" s="128"/>
      <c r="P118" s="128">
        <f t="shared" si="17"/>
        <v>-3285.6240000247958</v>
      </c>
      <c r="Q118" s="73"/>
      <c r="R118" s="73"/>
      <c r="S118" s="73"/>
      <c r="T118" s="73"/>
      <c r="U118" s="73"/>
      <c r="V118" s="11"/>
    </row>
    <row r="119" spans="2:22">
      <c r="B119" s="9"/>
      <c r="C119" t="s">
        <v>23</v>
      </c>
      <c r="D119" t="s">
        <v>671</v>
      </c>
      <c r="E119">
        <v>10</v>
      </c>
      <c r="F119" s="128">
        <f t="shared" si="13"/>
        <v>4421551.2300000191</v>
      </c>
      <c r="G119" s="128"/>
      <c r="H119" s="128">
        <f t="shared" si="14"/>
        <v>0</v>
      </c>
      <c r="I119" s="128"/>
      <c r="J119" s="128">
        <f t="shared" si="15"/>
        <v>0</v>
      </c>
      <c r="K119" s="128"/>
      <c r="L119" s="436">
        <v>0</v>
      </c>
      <c r="M119" s="128"/>
      <c r="N119" s="128">
        <f t="shared" si="16"/>
        <v>0</v>
      </c>
      <c r="O119" s="128"/>
      <c r="P119" s="128">
        <f t="shared" si="17"/>
        <v>4421551.2300000191</v>
      </c>
      <c r="Q119" s="73"/>
      <c r="R119" s="73"/>
      <c r="S119" s="73"/>
      <c r="T119" s="73"/>
      <c r="U119" s="73"/>
      <c r="V119" s="11"/>
    </row>
    <row r="120" spans="2:22">
      <c r="B120" s="9"/>
      <c r="C120" t="s">
        <v>24</v>
      </c>
      <c r="D120" t="s">
        <v>671</v>
      </c>
      <c r="E120">
        <v>11</v>
      </c>
      <c r="F120" s="128">
        <f t="shared" si="13"/>
        <v>-1670.9129999637605</v>
      </c>
      <c r="G120" s="128"/>
      <c r="H120" s="128">
        <f t="shared" si="14"/>
        <v>0</v>
      </c>
      <c r="I120" s="128"/>
      <c r="J120" s="128">
        <f t="shared" si="15"/>
        <v>0</v>
      </c>
      <c r="K120" s="128"/>
      <c r="L120" s="436">
        <v>0</v>
      </c>
      <c r="M120" s="128"/>
      <c r="N120" s="128">
        <f t="shared" si="16"/>
        <v>0</v>
      </c>
      <c r="O120" s="128"/>
      <c r="P120" s="128">
        <f t="shared" si="17"/>
        <v>-1670.9129999637605</v>
      </c>
      <c r="Q120" s="73"/>
      <c r="R120" s="73"/>
      <c r="S120" s="73"/>
      <c r="T120" s="73"/>
      <c r="U120" s="73"/>
      <c r="V120" s="11"/>
    </row>
    <row r="121" spans="2:22">
      <c r="B121" s="9"/>
      <c r="C121" t="s">
        <v>13</v>
      </c>
      <c r="D121" t="s">
        <v>671</v>
      </c>
      <c r="E121">
        <v>12</v>
      </c>
      <c r="F121" s="438">
        <f t="shared" si="13"/>
        <v>1320265.6609999896</v>
      </c>
      <c r="G121" s="438"/>
      <c r="H121" s="438">
        <f t="shared" si="14"/>
        <v>0</v>
      </c>
      <c r="I121" s="438"/>
      <c r="J121" s="438">
        <f t="shared" si="15"/>
        <v>0</v>
      </c>
      <c r="K121" s="438"/>
      <c r="L121" s="437">
        <v>0</v>
      </c>
      <c r="M121" s="438"/>
      <c r="N121" s="438">
        <f t="shared" si="16"/>
        <v>0</v>
      </c>
      <c r="O121" s="438"/>
      <c r="P121" s="438">
        <f t="shared" si="17"/>
        <v>1320265.6609999896</v>
      </c>
      <c r="Q121" s="73"/>
      <c r="R121" s="73"/>
      <c r="S121" s="73"/>
      <c r="T121" s="73"/>
      <c r="U121" s="73"/>
      <c r="V121" s="11"/>
    </row>
    <row r="122" spans="2:22">
      <c r="B122" s="9"/>
      <c r="C122" s="476"/>
      <c r="D122" s="476"/>
      <c r="E122" s="476"/>
      <c r="F122" s="477"/>
      <c r="G122" s="128"/>
      <c r="H122" s="128"/>
      <c r="I122" s="128"/>
      <c r="J122" s="128"/>
      <c r="K122" s="128"/>
      <c r="L122" s="128">
        <f>AVERAGE(L109:L121)</f>
        <v>0</v>
      </c>
      <c r="M122" s="128"/>
      <c r="N122" s="128"/>
      <c r="O122" s="128"/>
      <c r="P122" s="128"/>
      <c r="Q122" s="73"/>
      <c r="R122" s="73"/>
      <c r="S122" s="73"/>
      <c r="T122" s="73"/>
      <c r="U122" s="73"/>
      <c r="V122" s="11"/>
    </row>
    <row r="123" spans="2:22">
      <c r="B123" s="9"/>
      <c r="C123" s="1" t="s">
        <v>541</v>
      </c>
      <c r="F123" s="439">
        <f>+SUM(F110:F122)</f>
        <v>11067505.093500018</v>
      </c>
      <c r="G123" s="439"/>
      <c r="H123" s="439">
        <f>+SUM(H110:H122)</f>
        <v>0</v>
      </c>
      <c r="I123" s="439"/>
      <c r="J123" s="439">
        <f>+SUM(J110:J122)</f>
        <v>0</v>
      </c>
      <c r="K123" s="439"/>
      <c r="L123" s="439"/>
      <c r="M123" s="439"/>
      <c r="N123" s="439">
        <f>+SUM(N110:N122)</f>
        <v>0</v>
      </c>
      <c r="O123" s="439"/>
      <c r="P123" s="439">
        <f>+SUM(P110:P122)</f>
        <v>11067505.093500018</v>
      </c>
      <c r="Q123" s="73"/>
      <c r="R123" s="73"/>
      <c r="S123" s="73"/>
      <c r="T123" s="73"/>
      <c r="U123" s="73"/>
      <c r="V123" s="11"/>
    </row>
    <row r="124" spans="2:22">
      <c r="B124" s="9"/>
      <c r="C124" s="1"/>
      <c r="F124" s="73"/>
      <c r="G124" s="73"/>
      <c r="H124" s="73"/>
      <c r="I124" s="73"/>
      <c r="J124" s="73"/>
      <c r="K124" s="73"/>
      <c r="L124" s="73"/>
      <c r="M124" s="73"/>
      <c r="N124" s="73"/>
      <c r="O124" s="73"/>
      <c r="P124" s="73"/>
      <c r="Q124" s="73"/>
      <c r="R124" s="73"/>
      <c r="S124" s="73"/>
      <c r="T124" s="73"/>
      <c r="U124" s="73"/>
      <c r="V124" s="11"/>
    </row>
    <row r="125" spans="2:22" ht="15.75" thickBot="1">
      <c r="B125" s="14"/>
      <c r="C125" s="15"/>
      <c r="D125" s="15"/>
      <c r="E125" s="15"/>
      <c r="F125" s="76"/>
      <c r="G125" s="76"/>
      <c r="H125" s="76"/>
      <c r="I125" s="76"/>
      <c r="J125" s="76"/>
      <c r="K125" s="76"/>
      <c r="L125" s="76"/>
      <c r="M125" s="76"/>
      <c r="N125" s="76"/>
      <c r="O125" s="76"/>
      <c r="P125" s="76"/>
      <c r="Q125" s="76"/>
      <c r="R125" s="76"/>
      <c r="S125" s="76"/>
      <c r="T125" s="76"/>
      <c r="U125" s="15"/>
      <c r="V125" s="17"/>
    </row>
    <row r="126" spans="2:22">
      <c r="F126" s="10"/>
      <c r="G126" s="73"/>
      <c r="H126" s="10"/>
      <c r="I126" s="73"/>
      <c r="J126" s="10"/>
      <c r="K126" s="73"/>
      <c r="L126" s="73"/>
      <c r="M126" s="73"/>
      <c r="N126" s="10"/>
      <c r="O126" s="73"/>
      <c r="P126" s="10"/>
      <c r="Q126" s="73"/>
      <c r="R126" s="10"/>
      <c r="S126" s="73"/>
      <c r="T126" s="10"/>
    </row>
    <row r="127" spans="2:22">
      <c r="F127"/>
      <c r="G127"/>
      <c r="H127"/>
      <c r="I127"/>
      <c r="J127"/>
      <c r="K127"/>
      <c r="L127"/>
      <c r="M127"/>
      <c r="N127"/>
      <c r="O127"/>
      <c r="P127"/>
      <c r="Q127"/>
      <c r="R127"/>
      <c r="S127"/>
      <c r="T127"/>
    </row>
    <row r="128" spans="2:22">
      <c r="F128"/>
      <c r="G128"/>
      <c r="H128"/>
      <c r="I128"/>
      <c r="J128"/>
      <c r="K128"/>
      <c r="L128"/>
      <c r="M128"/>
      <c r="N128"/>
      <c r="O128"/>
      <c r="P128"/>
      <c r="Q128"/>
      <c r="R128"/>
      <c r="S128"/>
      <c r="T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spans="3:20">
      <c r="F241"/>
      <c r="G241"/>
      <c r="H241"/>
      <c r="I241"/>
      <c r="J241"/>
      <c r="K241"/>
      <c r="L241"/>
      <c r="M241"/>
      <c r="N241"/>
      <c r="O241"/>
      <c r="P241"/>
      <c r="Q241"/>
      <c r="R241"/>
      <c r="S241"/>
      <c r="T241"/>
    </row>
    <row r="242" spans="3:20">
      <c r="F242"/>
      <c r="G242"/>
      <c r="H242"/>
      <c r="I242"/>
      <c r="J242"/>
      <c r="K242"/>
      <c r="L242"/>
      <c r="M242"/>
      <c r="N242"/>
      <c r="O242"/>
      <c r="P242"/>
      <c r="Q242"/>
      <c r="R242"/>
      <c r="S242"/>
      <c r="T242"/>
    </row>
    <row r="243" spans="3:20">
      <c r="F243"/>
      <c r="G243"/>
      <c r="H243"/>
      <c r="I243"/>
      <c r="J243"/>
      <c r="K243"/>
      <c r="L243"/>
      <c r="M243"/>
      <c r="N243"/>
      <c r="O243"/>
      <c r="P243"/>
      <c r="Q243"/>
      <c r="R243"/>
      <c r="S243"/>
      <c r="T243"/>
    </row>
    <row r="244" spans="3:20">
      <c r="F244"/>
      <c r="G244"/>
      <c r="H244"/>
      <c r="I244"/>
      <c r="J244"/>
      <c r="K244"/>
      <c r="L244"/>
      <c r="M244"/>
      <c r="N244"/>
      <c r="O244"/>
      <c r="P244"/>
      <c r="Q244"/>
      <c r="R244"/>
      <c r="S244"/>
      <c r="T244"/>
    </row>
    <row r="245" spans="3:20">
      <c r="F245"/>
      <c r="G245"/>
      <c r="H245"/>
      <c r="I245"/>
      <c r="J245"/>
      <c r="K245"/>
      <c r="L245"/>
      <c r="M245"/>
      <c r="N245"/>
      <c r="O245"/>
      <c r="P245"/>
      <c r="Q245"/>
      <c r="R245"/>
      <c r="S245"/>
      <c r="T245"/>
    </row>
    <row r="246" spans="3:20">
      <c r="C246" s="1"/>
      <c r="F246"/>
      <c r="G246"/>
      <c r="H246"/>
      <c r="I246"/>
      <c r="J246"/>
      <c r="K246"/>
      <c r="L246"/>
      <c r="M246"/>
      <c r="N246"/>
      <c r="O246"/>
      <c r="P246"/>
      <c r="Q246"/>
      <c r="R246"/>
      <c r="S246"/>
      <c r="T246"/>
    </row>
    <row r="247" spans="3:20">
      <c r="F247"/>
      <c r="G247"/>
      <c r="H247"/>
      <c r="I247"/>
      <c r="J247"/>
      <c r="K247"/>
      <c r="L247"/>
      <c r="M247"/>
      <c r="N247"/>
      <c r="O247"/>
      <c r="P247"/>
      <c r="Q247"/>
      <c r="R247"/>
      <c r="S247"/>
      <c r="T247"/>
    </row>
    <row r="248" spans="3:20">
      <c r="F248"/>
      <c r="G248"/>
      <c r="H248"/>
      <c r="I248"/>
      <c r="J248"/>
      <c r="K248"/>
      <c r="L248"/>
      <c r="M248"/>
      <c r="N248"/>
      <c r="O248"/>
      <c r="P248"/>
      <c r="Q248"/>
      <c r="R248"/>
      <c r="S248"/>
      <c r="T248"/>
    </row>
    <row r="249" spans="3:20">
      <c r="F249"/>
      <c r="G249"/>
      <c r="H249"/>
      <c r="I249"/>
      <c r="J249"/>
      <c r="K249"/>
      <c r="L249"/>
      <c r="M249"/>
      <c r="N249"/>
      <c r="O249"/>
      <c r="P249"/>
      <c r="Q249"/>
      <c r="R249"/>
      <c r="S249"/>
      <c r="T249"/>
    </row>
    <row r="250" spans="3:20">
      <c r="F250"/>
      <c r="G250"/>
      <c r="H250"/>
      <c r="I250"/>
      <c r="J250"/>
      <c r="K250"/>
      <c r="L250"/>
      <c r="M250"/>
      <c r="N250"/>
      <c r="O250"/>
      <c r="P250"/>
      <c r="Q250"/>
      <c r="R250"/>
      <c r="S250"/>
      <c r="T250"/>
    </row>
    <row r="251" spans="3:20">
      <c r="F251"/>
      <c r="G251"/>
      <c r="H251"/>
      <c r="I251"/>
      <c r="J251"/>
      <c r="K251"/>
      <c r="L251"/>
      <c r="M251"/>
      <c r="N251"/>
      <c r="O251"/>
      <c r="P251"/>
      <c r="Q251"/>
      <c r="R251"/>
      <c r="S251"/>
      <c r="T251"/>
    </row>
    <row r="254" spans="3:20">
      <c r="F254"/>
      <c r="G254"/>
      <c r="H254"/>
      <c r="I254"/>
      <c r="J254"/>
      <c r="K254"/>
      <c r="L254"/>
      <c r="M254"/>
      <c r="N254"/>
      <c r="O254"/>
      <c r="P254"/>
      <c r="Q254"/>
      <c r="R254"/>
      <c r="S254"/>
      <c r="T254"/>
    </row>
  </sheetData>
  <pageMargins left="0.7" right="0.7" top="0.75" bottom="0.75" header="0.3" footer="0.3"/>
  <pageSetup scale="37" fitToHeight="0" orientation="landscape" r:id="rId1"/>
  <rowBreaks count="1" manualBreakCount="1">
    <brk id="75"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7"/>
  <sheetViews>
    <sheetView workbookViewId="0">
      <selection activeCell="G18" sqref="G18"/>
    </sheetView>
  </sheetViews>
  <sheetFormatPr defaultColWidth="9.140625" defaultRowHeight="15"/>
  <cols>
    <col min="1" max="1" width="51.42578125" customWidth="1"/>
    <col min="2" max="2" width="30.140625" bestFit="1" customWidth="1"/>
    <col min="3" max="4" width="30.5703125" customWidth="1"/>
    <col min="5" max="5" width="22" bestFit="1" customWidth="1"/>
    <col min="6" max="6" width="26.85546875" customWidth="1"/>
    <col min="7" max="7" width="38.140625" bestFit="1" customWidth="1"/>
    <col min="8" max="8" width="29.42578125" customWidth="1"/>
    <col min="9" max="11" width="22.5703125" customWidth="1"/>
    <col min="12" max="12" width="9.140625" customWidth="1"/>
  </cols>
  <sheetData>
    <row r="1" spans="1:9">
      <c r="A1" s="1" t="s">
        <v>0</v>
      </c>
    </row>
    <row r="2" spans="1:9">
      <c r="A2" s="1" t="s">
        <v>1267</v>
      </c>
    </row>
    <row r="3" spans="1:9" ht="15.75" thickBot="1"/>
    <row r="4" spans="1:9">
      <c r="A4" s="1" t="s">
        <v>968</v>
      </c>
      <c r="C4" s="86" t="s">
        <v>969</v>
      </c>
      <c r="D4" s="86" t="s">
        <v>970</v>
      </c>
      <c r="E4" s="86" t="s">
        <v>971</v>
      </c>
      <c r="F4" s="134" t="s">
        <v>972</v>
      </c>
      <c r="G4" s="136" t="s">
        <v>973</v>
      </c>
      <c r="H4" s="139" t="s">
        <v>974</v>
      </c>
      <c r="I4" s="1"/>
    </row>
    <row r="5" spans="1:9">
      <c r="B5" s="4" t="s">
        <v>975</v>
      </c>
      <c r="C5" s="142">
        <v>2.0899999999999998E-2</v>
      </c>
      <c r="D5" s="142">
        <v>2.2700000000000001E-2</v>
      </c>
      <c r="E5" s="86" t="s">
        <v>976</v>
      </c>
      <c r="F5" s="135" t="s">
        <v>976</v>
      </c>
      <c r="G5" s="86" t="s">
        <v>976</v>
      </c>
      <c r="H5" s="138" t="s">
        <v>976</v>
      </c>
    </row>
    <row r="6" spans="1:9">
      <c r="A6" s="137">
        <v>40694</v>
      </c>
      <c r="B6" s="84">
        <v>561545494</v>
      </c>
      <c r="C6" s="352"/>
      <c r="D6" s="43"/>
      <c r="F6" s="9"/>
      <c r="H6" s="11"/>
      <c r="I6" s="137"/>
    </row>
    <row r="7" spans="1:9">
      <c r="A7" s="137">
        <v>40724</v>
      </c>
      <c r="B7" s="84">
        <v>561605075</v>
      </c>
      <c r="C7" s="3">
        <f>(B7*$C$5)/12</f>
        <v>978128.83895833325</v>
      </c>
      <c r="D7" s="3">
        <f>(B7*$D$5)/12</f>
        <v>1062369.6002083335</v>
      </c>
      <c r="E7" s="47">
        <f t="shared" ref="E7:E32" si="0">D7-C7</f>
        <v>84240.761250000214</v>
      </c>
      <c r="F7" s="140"/>
      <c r="G7" s="47">
        <f>E7</f>
        <v>84240.761250000214</v>
      </c>
      <c r="H7" s="52">
        <f>G7*0.3959</f>
        <v>33350.917378875085</v>
      </c>
      <c r="I7" s="137"/>
    </row>
    <row r="8" spans="1:9">
      <c r="A8" s="137">
        <v>40755</v>
      </c>
      <c r="B8" s="84">
        <v>562768565</v>
      </c>
      <c r="C8" s="3">
        <f t="shared" ref="C8:C32" si="1">(B8*$C$5)/12</f>
        <v>980155.25070833322</v>
      </c>
      <c r="D8" s="3">
        <f t="shared" ref="D8:D32" si="2">(B8*$D$5)/12</f>
        <v>1064570.5354583333</v>
      </c>
      <c r="E8" s="47">
        <f t="shared" si="0"/>
        <v>84415.284750000108</v>
      </c>
      <c r="F8" s="140"/>
      <c r="G8" s="47">
        <f t="shared" ref="G8:G32" si="3">G7+E8</f>
        <v>168656.04600000032</v>
      </c>
      <c r="H8" s="52">
        <f t="shared" ref="H8:H32" si="4">G8*0.3959</f>
        <v>66770.92861140013</v>
      </c>
      <c r="I8" s="137"/>
    </row>
    <row r="9" spans="1:9">
      <c r="A9" s="137">
        <v>40786</v>
      </c>
      <c r="B9" s="84">
        <v>567293325</v>
      </c>
      <c r="C9" s="3">
        <f t="shared" si="1"/>
        <v>988035.87437500001</v>
      </c>
      <c r="D9" s="3">
        <f t="shared" si="2"/>
        <v>1073129.8731250002</v>
      </c>
      <c r="E9" s="47">
        <f t="shared" si="0"/>
        <v>85093.998750000144</v>
      </c>
      <c r="F9" s="140"/>
      <c r="G9" s="47">
        <f t="shared" si="3"/>
        <v>253750.04475000047</v>
      </c>
      <c r="H9" s="52">
        <f t="shared" si="4"/>
        <v>100459.64271652518</v>
      </c>
      <c r="I9" s="137"/>
    </row>
    <row r="10" spans="1:9">
      <c r="A10" s="137">
        <v>40816</v>
      </c>
      <c r="B10" s="84">
        <v>568194419</v>
      </c>
      <c r="C10" s="3">
        <f t="shared" si="1"/>
        <v>989605.27975833323</v>
      </c>
      <c r="D10" s="3">
        <f t="shared" si="2"/>
        <v>1074834.4426083334</v>
      </c>
      <c r="E10" s="47">
        <f t="shared" si="0"/>
        <v>85229.162850000197</v>
      </c>
      <c r="F10" s="140"/>
      <c r="G10" s="47">
        <f t="shared" si="3"/>
        <v>338979.20760000066</v>
      </c>
      <c r="H10" s="52">
        <f t="shared" si="4"/>
        <v>134201.86828884025</v>
      </c>
      <c r="I10" s="137"/>
    </row>
    <row r="11" spans="1:9">
      <c r="A11" s="137">
        <v>40847</v>
      </c>
      <c r="B11" s="84">
        <v>588465377</v>
      </c>
      <c r="C11" s="3">
        <f t="shared" si="1"/>
        <v>1024910.5316083332</v>
      </c>
      <c r="D11" s="3">
        <f t="shared" si="2"/>
        <v>1113180.3381583334</v>
      </c>
      <c r="E11" s="47">
        <f t="shared" si="0"/>
        <v>88269.806550000212</v>
      </c>
      <c r="F11" s="140"/>
      <c r="G11" s="47">
        <f t="shared" si="3"/>
        <v>427249.01415000088</v>
      </c>
      <c r="H11" s="52">
        <f t="shared" si="4"/>
        <v>169147.88470198534</v>
      </c>
      <c r="I11" s="137"/>
    </row>
    <row r="12" spans="1:9">
      <c r="A12" s="137">
        <v>40877</v>
      </c>
      <c r="B12" s="84">
        <v>587913413</v>
      </c>
      <c r="C12" s="3">
        <f t="shared" si="1"/>
        <v>1023949.1943083332</v>
      </c>
      <c r="D12" s="3">
        <f t="shared" si="2"/>
        <v>1112136.2062583335</v>
      </c>
      <c r="E12" s="47">
        <f t="shared" si="0"/>
        <v>88187.011950000306</v>
      </c>
      <c r="F12" s="140"/>
      <c r="G12" s="47">
        <f t="shared" si="3"/>
        <v>515436.02610000118</v>
      </c>
      <c r="H12" s="52">
        <f t="shared" si="4"/>
        <v>204061.12273299045</v>
      </c>
      <c r="I12" s="137"/>
    </row>
    <row r="13" spans="1:9">
      <c r="A13" s="137">
        <v>40908</v>
      </c>
      <c r="B13" s="228">
        <v>588272716</v>
      </c>
      <c r="C13" s="3">
        <f t="shared" si="1"/>
        <v>1024574.9803666667</v>
      </c>
      <c r="D13" s="3">
        <f t="shared" si="2"/>
        <v>1112815.8877666667</v>
      </c>
      <c r="E13" s="47">
        <f t="shared" si="0"/>
        <v>88240.907400000026</v>
      </c>
      <c r="F13" s="140"/>
      <c r="G13" s="47">
        <f t="shared" si="3"/>
        <v>603676.93350000121</v>
      </c>
      <c r="H13" s="52">
        <f t="shared" si="4"/>
        <v>238995.69797265047</v>
      </c>
      <c r="I13" s="137"/>
    </row>
    <row r="14" spans="1:9">
      <c r="A14" s="137">
        <v>40939</v>
      </c>
      <c r="B14" s="84">
        <v>589885723.38000023</v>
      </c>
      <c r="C14" s="3">
        <f t="shared" si="1"/>
        <v>1027384.3015535004</v>
      </c>
      <c r="D14" s="3">
        <f t="shared" si="2"/>
        <v>1115867.1600605005</v>
      </c>
      <c r="E14" s="47">
        <f t="shared" si="0"/>
        <v>88482.858507000143</v>
      </c>
      <c r="F14" s="140"/>
      <c r="G14" s="47">
        <f t="shared" si="3"/>
        <v>692159.79200700135</v>
      </c>
      <c r="H14" s="52">
        <f t="shared" si="4"/>
        <v>274026.0616555718</v>
      </c>
      <c r="I14" s="137"/>
    </row>
    <row r="15" spans="1:9">
      <c r="A15" s="137">
        <v>40968</v>
      </c>
      <c r="B15" s="84">
        <v>589881236.2700001</v>
      </c>
      <c r="C15" s="3">
        <f t="shared" si="1"/>
        <v>1027376.4865035834</v>
      </c>
      <c r="D15" s="3">
        <f t="shared" si="2"/>
        <v>1115858.6719440836</v>
      </c>
      <c r="E15" s="47">
        <f t="shared" si="0"/>
        <v>88482.185440500267</v>
      </c>
      <c r="F15" s="140"/>
      <c r="G15" s="47">
        <f t="shared" si="3"/>
        <v>780641.97744750162</v>
      </c>
      <c r="H15" s="52">
        <f t="shared" si="4"/>
        <v>309056.15887146589</v>
      </c>
      <c r="I15" s="137"/>
    </row>
    <row r="16" spans="1:9">
      <c r="A16" s="137">
        <v>40999</v>
      </c>
      <c r="B16" s="84">
        <v>583894061.02000046</v>
      </c>
      <c r="C16" s="3">
        <f t="shared" si="1"/>
        <v>1016948.8229431674</v>
      </c>
      <c r="D16" s="3">
        <f t="shared" si="2"/>
        <v>1104532.9320961677</v>
      </c>
      <c r="E16" s="47">
        <f t="shared" si="0"/>
        <v>87584.109153000289</v>
      </c>
      <c r="F16" s="140"/>
      <c r="G16" s="47">
        <f t="shared" si="3"/>
        <v>868226.08660050191</v>
      </c>
      <c r="H16" s="52">
        <f t="shared" si="4"/>
        <v>343730.70768513868</v>
      </c>
      <c r="I16" s="137"/>
    </row>
    <row r="17" spans="1:9">
      <c r="A17" s="137">
        <v>41029</v>
      </c>
      <c r="B17" s="84">
        <v>589528503.54999936</v>
      </c>
      <c r="C17" s="3">
        <f t="shared" si="1"/>
        <v>1026762.1436829154</v>
      </c>
      <c r="D17" s="3">
        <f t="shared" si="2"/>
        <v>1115191.4192154154</v>
      </c>
      <c r="E17" s="47">
        <f t="shared" si="0"/>
        <v>88429.275532500003</v>
      </c>
      <c r="F17" s="140"/>
      <c r="G17" s="47">
        <f t="shared" si="3"/>
        <v>956655.36213300191</v>
      </c>
      <c r="H17" s="52">
        <f t="shared" si="4"/>
        <v>378739.85786845541</v>
      </c>
      <c r="I17" s="137"/>
    </row>
    <row r="18" spans="1:9">
      <c r="A18" s="137">
        <v>41060</v>
      </c>
      <c r="B18" s="84">
        <v>598261158.70000088</v>
      </c>
      <c r="C18" s="3">
        <f t="shared" si="1"/>
        <v>1041971.5180691681</v>
      </c>
      <c r="D18" s="3">
        <f t="shared" si="2"/>
        <v>1131710.6918741683</v>
      </c>
      <c r="E18" s="47">
        <f t="shared" si="0"/>
        <v>89739.17380500026</v>
      </c>
      <c r="F18" s="140"/>
      <c r="G18" s="47">
        <f t="shared" si="3"/>
        <v>1046394.5359380022</v>
      </c>
      <c r="H18" s="52">
        <f t="shared" si="4"/>
        <v>414267.59677785501</v>
      </c>
      <c r="I18" s="137"/>
    </row>
    <row r="19" spans="1:9">
      <c r="A19" s="137">
        <v>41090</v>
      </c>
      <c r="B19" s="84">
        <v>598294269.87000072</v>
      </c>
      <c r="C19" s="3">
        <f t="shared" si="1"/>
        <v>1042029.1866902512</v>
      </c>
      <c r="D19" s="3">
        <f t="shared" si="2"/>
        <v>1131773.3271707513</v>
      </c>
      <c r="E19" s="47">
        <f t="shared" si="0"/>
        <v>89744.140480500064</v>
      </c>
      <c r="F19" s="140"/>
      <c r="G19" s="47">
        <f t="shared" si="3"/>
        <v>1136138.6764185023</v>
      </c>
      <c r="H19" s="52">
        <f t="shared" si="4"/>
        <v>449797.30199408508</v>
      </c>
      <c r="I19" s="137"/>
    </row>
    <row r="20" spans="1:9">
      <c r="A20" s="137">
        <v>41121</v>
      </c>
      <c r="B20" s="84">
        <v>598200036.03000057</v>
      </c>
      <c r="C20" s="3">
        <f t="shared" si="1"/>
        <v>1041865.0627522509</v>
      </c>
      <c r="D20" s="3">
        <f t="shared" si="2"/>
        <v>1131595.0681567511</v>
      </c>
      <c r="E20" s="47">
        <f t="shared" si="0"/>
        <v>89730.005404500174</v>
      </c>
      <c r="F20" s="140"/>
      <c r="G20" s="47">
        <f t="shared" si="3"/>
        <v>1225868.6818230026</v>
      </c>
      <c r="H20" s="52">
        <f t="shared" si="4"/>
        <v>485321.41113372671</v>
      </c>
      <c r="I20" s="137"/>
    </row>
    <row r="21" spans="1:9">
      <c r="A21" s="137">
        <v>41152</v>
      </c>
      <c r="B21" s="84">
        <v>601271121.1600008</v>
      </c>
      <c r="C21" s="3">
        <f t="shared" si="1"/>
        <v>1047213.8693536679</v>
      </c>
      <c r="D21" s="3">
        <f t="shared" si="2"/>
        <v>1137404.5375276683</v>
      </c>
      <c r="E21" s="47">
        <f t="shared" si="0"/>
        <v>90190.668174000341</v>
      </c>
      <c r="F21" s="140"/>
      <c r="G21" s="47">
        <f t="shared" si="3"/>
        <v>1316059.3499970031</v>
      </c>
      <c r="H21" s="52">
        <f t="shared" si="4"/>
        <v>521027.8966638135</v>
      </c>
      <c r="I21" s="137"/>
    </row>
    <row r="22" spans="1:9">
      <c r="A22" s="137">
        <v>41182</v>
      </c>
      <c r="B22" s="84">
        <v>601019324.70000088</v>
      </c>
      <c r="C22" s="3">
        <f t="shared" si="1"/>
        <v>1046775.3238525015</v>
      </c>
      <c r="D22" s="3">
        <f t="shared" si="2"/>
        <v>1136928.2225575016</v>
      </c>
      <c r="E22" s="47">
        <f t="shared" si="0"/>
        <v>90152.898705000174</v>
      </c>
      <c r="F22" s="140"/>
      <c r="G22" s="47">
        <f t="shared" si="3"/>
        <v>1406212.2487020032</v>
      </c>
      <c r="H22" s="52">
        <f t="shared" si="4"/>
        <v>556719.42926112306</v>
      </c>
      <c r="I22" s="137"/>
    </row>
    <row r="23" spans="1:9">
      <c r="A23" s="137">
        <v>41213</v>
      </c>
      <c r="B23" s="84">
        <v>601637587.25000095</v>
      </c>
      <c r="C23" s="3">
        <f t="shared" si="1"/>
        <v>1047852.131127085</v>
      </c>
      <c r="D23" s="3">
        <f t="shared" si="2"/>
        <v>1138097.7692145852</v>
      </c>
      <c r="E23" s="47">
        <f t="shared" si="0"/>
        <v>90245.638087500236</v>
      </c>
      <c r="F23" s="140"/>
      <c r="G23" s="47">
        <f t="shared" si="3"/>
        <v>1496457.8867895035</v>
      </c>
      <c r="H23" s="52">
        <f t="shared" si="4"/>
        <v>592447.67737996439</v>
      </c>
      <c r="I23" s="137"/>
    </row>
    <row r="24" spans="1:9">
      <c r="A24" s="137">
        <v>41243</v>
      </c>
      <c r="B24" s="84">
        <v>607319064.95000052</v>
      </c>
      <c r="C24" s="3">
        <f t="shared" si="1"/>
        <v>1057747.3714545842</v>
      </c>
      <c r="D24" s="3">
        <f t="shared" si="2"/>
        <v>1148845.2311970845</v>
      </c>
      <c r="E24" s="47">
        <f t="shared" si="0"/>
        <v>91097.859742500354</v>
      </c>
      <c r="F24" s="140"/>
      <c r="G24" s="47">
        <f t="shared" si="3"/>
        <v>1587555.7465320039</v>
      </c>
      <c r="H24" s="52">
        <f t="shared" si="4"/>
        <v>628513.32005202025</v>
      </c>
      <c r="I24" s="137"/>
    </row>
    <row r="25" spans="1:9">
      <c r="A25" s="137">
        <v>41274</v>
      </c>
      <c r="B25" s="228">
        <v>609133959</v>
      </c>
      <c r="C25" s="3">
        <f t="shared" si="1"/>
        <v>1060908.3119249998</v>
      </c>
      <c r="D25" s="3">
        <f t="shared" si="2"/>
        <v>1152278.4057750001</v>
      </c>
      <c r="E25" s="47">
        <f t="shared" si="0"/>
        <v>91370.093850000296</v>
      </c>
      <c r="F25" s="140"/>
      <c r="G25" s="47">
        <f t="shared" si="3"/>
        <v>1678925.8403820042</v>
      </c>
      <c r="H25" s="52">
        <f t="shared" si="4"/>
        <v>664686.74020723545</v>
      </c>
      <c r="I25" s="137"/>
    </row>
    <row r="26" spans="1:9">
      <c r="A26" s="137">
        <v>41305</v>
      </c>
      <c r="B26" s="228">
        <v>609704101</v>
      </c>
      <c r="C26" s="3">
        <f t="shared" si="1"/>
        <v>1061901.3092416667</v>
      </c>
      <c r="D26" s="3">
        <f t="shared" si="2"/>
        <v>1153356.9243916667</v>
      </c>
      <c r="E26" s="47">
        <f t="shared" si="0"/>
        <v>91455.615149999969</v>
      </c>
      <c r="F26" s="140"/>
      <c r="G26" s="47">
        <f t="shared" si="3"/>
        <v>1770381.4555320041</v>
      </c>
      <c r="H26" s="52">
        <f t="shared" si="4"/>
        <v>700894.01824512042</v>
      </c>
      <c r="I26" s="137"/>
    </row>
    <row r="27" spans="1:9">
      <c r="A27" s="137">
        <v>41333</v>
      </c>
      <c r="B27" s="228">
        <v>609898303</v>
      </c>
      <c r="C27" s="3">
        <f t="shared" si="1"/>
        <v>1062239.5443916665</v>
      </c>
      <c r="D27" s="3">
        <f t="shared" si="2"/>
        <v>1153724.2898416666</v>
      </c>
      <c r="E27" s="47">
        <f t="shared" si="0"/>
        <v>91484.745450000046</v>
      </c>
      <c r="F27" s="140"/>
      <c r="G27" s="47">
        <f t="shared" si="3"/>
        <v>1861866.2009820042</v>
      </c>
      <c r="H27" s="52">
        <f t="shared" si="4"/>
        <v>737112.82896877546</v>
      </c>
      <c r="I27" s="137"/>
    </row>
    <row r="28" spans="1:9">
      <c r="A28" s="137">
        <v>41364</v>
      </c>
      <c r="B28" s="228">
        <v>610153351</v>
      </c>
      <c r="C28" s="3">
        <f t="shared" si="1"/>
        <v>1062683.7529916666</v>
      </c>
      <c r="D28" s="3">
        <f t="shared" si="2"/>
        <v>1154206.7556416667</v>
      </c>
      <c r="E28" s="47">
        <f t="shared" si="0"/>
        <v>91523.002650000155</v>
      </c>
      <c r="F28" s="140"/>
      <c r="G28" s="47">
        <f t="shared" si="3"/>
        <v>1953389.2036320043</v>
      </c>
      <c r="H28" s="52">
        <f t="shared" si="4"/>
        <v>773346.7857179105</v>
      </c>
      <c r="I28" s="137"/>
    </row>
    <row r="29" spans="1:9">
      <c r="A29" s="137">
        <v>41394</v>
      </c>
      <c r="B29" s="228">
        <v>610765127</v>
      </c>
      <c r="C29" s="3">
        <f t="shared" si="1"/>
        <v>1063749.2628583333</v>
      </c>
      <c r="D29" s="3">
        <f t="shared" si="2"/>
        <v>1155364.0319083335</v>
      </c>
      <c r="E29" s="47">
        <f t="shared" si="0"/>
        <v>91614.769050000235</v>
      </c>
      <c r="F29" s="140"/>
      <c r="G29" s="47">
        <f t="shared" si="3"/>
        <v>2045003.9726820046</v>
      </c>
      <c r="H29" s="52">
        <f t="shared" si="4"/>
        <v>809617.07278480555</v>
      </c>
      <c r="I29" s="137"/>
    </row>
    <row r="30" spans="1:9">
      <c r="A30" s="137">
        <v>41425</v>
      </c>
      <c r="B30" s="228">
        <v>610969758</v>
      </c>
      <c r="C30" s="3">
        <f t="shared" si="1"/>
        <v>1064105.66185</v>
      </c>
      <c r="D30" s="3">
        <f t="shared" si="2"/>
        <v>1155751.12555</v>
      </c>
      <c r="E30" s="47">
        <f t="shared" si="0"/>
        <v>91645.463699999964</v>
      </c>
      <c r="F30" s="140"/>
      <c r="G30" s="47">
        <f t="shared" si="3"/>
        <v>2136649.4363820045</v>
      </c>
      <c r="H30" s="52">
        <f t="shared" si="4"/>
        <v>845899.5118636355</v>
      </c>
      <c r="I30" s="137"/>
    </row>
    <row r="31" spans="1:9" ht="15.75" customHeight="1">
      <c r="A31" s="137">
        <v>41455</v>
      </c>
      <c r="B31" s="228">
        <v>613299095</v>
      </c>
      <c r="C31" s="3">
        <f t="shared" si="1"/>
        <v>1068162.5904583333</v>
      </c>
      <c r="D31" s="3">
        <f t="shared" si="2"/>
        <v>1160157.4547083334</v>
      </c>
      <c r="E31" s="47">
        <f t="shared" si="0"/>
        <v>91994.864250000101</v>
      </c>
      <c r="F31" s="140"/>
      <c r="G31" s="47">
        <f t="shared" si="3"/>
        <v>2228644.3006320046</v>
      </c>
      <c r="H31" s="52">
        <f t="shared" si="4"/>
        <v>882320.27862021059</v>
      </c>
      <c r="I31" s="137"/>
    </row>
    <row r="32" spans="1:9">
      <c r="A32" s="137">
        <v>41486</v>
      </c>
      <c r="B32" s="228">
        <v>615398686</v>
      </c>
      <c r="C32" s="3">
        <f t="shared" si="1"/>
        <v>1071819.3781166666</v>
      </c>
      <c r="D32" s="3">
        <f t="shared" si="2"/>
        <v>1164129.1810166668</v>
      </c>
      <c r="E32" s="47">
        <f t="shared" si="0"/>
        <v>92309.802900000243</v>
      </c>
      <c r="F32" s="140"/>
      <c r="G32" s="47">
        <f t="shared" si="3"/>
        <v>2320954.1035320051</v>
      </c>
      <c r="H32" s="52">
        <f t="shared" si="4"/>
        <v>918865.72958832071</v>
      </c>
      <c r="I32" s="137"/>
    </row>
    <row r="33" spans="1:11" ht="15.75" thickBot="1">
      <c r="C33" s="141">
        <f>SUM(C7:C32)</f>
        <v>26948855.979899347</v>
      </c>
      <c r="D33" s="141">
        <f>SUM(D7:D32)</f>
        <v>29269810.083431341</v>
      </c>
      <c r="E33" s="141">
        <f>SUM(E7:E32)</f>
        <v>2320954.1035320051</v>
      </c>
      <c r="F33" s="140"/>
      <c r="G33" s="47"/>
      <c r="H33" s="11"/>
    </row>
    <row r="34" spans="1:11" ht="15.75" thickTop="1">
      <c r="F34" s="9"/>
      <c r="H34" s="11"/>
    </row>
    <row r="35" spans="1:11">
      <c r="B35" s="143"/>
      <c r="C35" s="192"/>
      <c r="E35" s="116"/>
      <c r="F35" s="144"/>
      <c r="G35" s="47"/>
      <c r="H35" s="132"/>
    </row>
    <row r="36" spans="1:11">
      <c r="A36" s="1" t="s">
        <v>977</v>
      </c>
      <c r="F36" s="9"/>
      <c r="G36" s="47"/>
      <c r="H36" s="11"/>
      <c r="I36" s="1"/>
    </row>
    <row r="37" spans="1:11">
      <c r="B37" s="251">
        <v>7915895</v>
      </c>
      <c r="C37" s="1" t="s">
        <v>978</v>
      </c>
      <c r="F37" s="9"/>
      <c r="G37" s="47"/>
      <c r="H37" s="11"/>
    </row>
    <row r="38" spans="1:11">
      <c r="B38" s="209">
        <v>2.7788461538461599E-2</v>
      </c>
      <c r="C38" t="s">
        <v>1383</v>
      </c>
      <c r="F38" s="9"/>
      <c r="H38" s="11"/>
    </row>
    <row r="39" spans="1:11">
      <c r="B39" s="209">
        <v>2.7630769230769216E-2</v>
      </c>
      <c r="C39" t="s">
        <v>1384</v>
      </c>
      <c r="F39" s="9"/>
      <c r="H39" s="11"/>
    </row>
    <row r="40" spans="1:11">
      <c r="B40" s="3">
        <f>B37*B38/12*26</f>
        <v>476602.84479166771</v>
      </c>
      <c r="C40" s="1" t="s">
        <v>979</v>
      </c>
      <c r="F40" s="9"/>
      <c r="H40" s="11"/>
    </row>
    <row r="41" spans="1:11">
      <c r="B41" s="131">
        <f>B37*B39/12*26</f>
        <v>473898.24733333313</v>
      </c>
      <c r="C41" s="1" t="s">
        <v>980</v>
      </c>
      <c r="F41" s="9"/>
      <c r="H41" s="11"/>
    </row>
    <row r="42" spans="1:11">
      <c r="B42" s="117">
        <f>B40+B41</f>
        <v>950501.0921250009</v>
      </c>
      <c r="C42" s="1" t="s">
        <v>981</v>
      </c>
      <c r="F42" s="9"/>
      <c r="H42" s="11"/>
    </row>
    <row r="43" spans="1:11">
      <c r="B43" s="43">
        <v>2.0899999999999998E-2</v>
      </c>
      <c r="C43" t="s">
        <v>982</v>
      </c>
      <c r="F43" s="9"/>
      <c r="H43" s="11"/>
    </row>
    <row r="44" spans="1:11">
      <c r="B44" s="43"/>
      <c r="F44" s="135" t="s">
        <v>972</v>
      </c>
      <c r="G44" s="86" t="s">
        <v>973</v>
      </c>
      <c r="H44" s="138" t="s">
        <v>974</v>
      </c>
    </row>
    <row r="45" spans="1:11" ht="30">
      <c r="A45" s="70"/>
      <c r="B45" s="223" t="s">
        <v>983</v>
      </c>
      <c r="C45" s="190" t="s">
        <v>984</v>
      </c>
      <c r="D45" s="190" t="s">
        <v>985</v>
      </c>
      <c r="E45" s="190" t="s">
        <v>986</v>
      </c>
      <c r="F45" s="188" t="s">
        <v>976</v>
      </c>
      <c r="G45" s="191" t="s">
        <v>976</v>
      </c>
      <c r="H45" s="189" t="s">
        <v>976</v>
      </c>
      <c r="I45" s="190" t="s">
        <v>1180</v>
      </c>
      <c r="J45" s="190" t="s">
        <v>1181</v>
      </c>
      <c r="K45" s="353" t="s">
        <v>1182</v>
      </c>
    </row>
    <row r="46" spans="1:11">
      <c r="A46" s="137">
        <v>40724</v>
      </c>
      <c r="B46" s="3">
        <f>$B$42*$B$43/12</f>
        <v>1655.4560687843766</v>
      </c>
      <c r="C46" s="47">
        <f>B46</f>
        <v>1655.4560687843766</v>
      </c>
      <c r="D46" s="47">
        <f>$B$42-C46</f>
        <v>948845.63605621655</v>
      </c>
      <c r="E46" s="41">
        <f>-(D46*$B$38/(+$B$38+$B$39)+K46)*0.3959</f>
        <v>-13822.89999525259</v>
      </c>
      <c r="F46" s="140">
        <f>-$B$42</f>
        <v>-950501.0921250009</v>
      </c>
      <c r="G46" s="47">
        <f>-C46</f>
        <v>-1655.4560687843766</v>
      </c>
      <c r="H46" s="52">
        <f>-E46</f>
        <v>13822.89999525259</v>
      </c>
      <c r="I46" s="505">
        <f t="shared" ref="I46:I52" si="5">+$B$40*0.525/7</f>
        <v>35745.213359375084</v>
      </c>
      <c r="J46" s="47">
        <f>+I46</f>
        <v>35745.213359375084</v>
      </c>
      <c r="K46" s="47">
        <f>-B40+J46</f>
        <v>-440857.63143229263</v>
      </c>
    </row>
    <row r="47" spans="1:11">
      <c r="A47" s="137">
        <v>40755</v>
      </c>
      <c r="B47" s="3">
        <f>$B$42*$B$43/12</f>
        <v>1655.4560687843766</v>
      </c>
      <c r="C47" s="47">
        <f>C46+B47</f>
        <v>3310.9121375687532</v>
      </c>
      <c r="D47" s="47">
        <f t="shared" ref="D47:D71" si="6">$B$42-C47</f>
        <v>947190.1799874322</v>
      </c>
      <c r="E47" s="41">
        <f t="shared" ref="E47:E76" si="7">-(D47*$B$38/(+$B$38+$B$39)+K47)*0.3959</f>
        <v>-27645.799990505202</v>
      </c>
      <c r="F47" s="140">
        <f t="shared" ref="F47:F110" si="8">-$B$42</f>
        <v>-950501.0921250009</v>
      </c>
      <c r="G47" s="47">
        <f t="shared" ref="G47:G110" si="9">-C47</f>
        <v>-3310.9121375687532</v>
      </c>
      <c r="H47" s="52">
        <f t="shared" ref="H47:H110" si="10">-E47</f>
        <v>27645.799990505202</v>
      </c>
      <c r="I47" s="192">
        <f t="shared" si="5"/>
        <v>35745.213359375084</v>
      </c>
      <c r="J47" s="47">
        <f>+I47+J46</f>
        <v>71490.426718750168</v>
      </c>
      <c r="K47" s="47">
        <f t="shared" ref="K47:K64" si="11">+K46+I47</f>
        <v>-405112.41807291756</v>
      </c>
    </row>
    <row r="48" spans="1:11">
      <c r="A48" s="137">
        <v>40786</v>
      </c>
      <c r="B48" s="3">
        <f t="shared" ref="B48:B110" si="12">$B$42*$B$43/12</f>
        <v>1655.4560687843766</v>
      </c>
      <c r="C48" s="47">
        <f t="shared" ref="C48:C71" si="13">C47+B48</f>
        <v>4966.3682063531296</v>
      </c>
      <c r="D48" s="47">
        <f t="shared" si="6"/>
        <v>945534.72391864774</v>
      </c>
      <c r="E48" s="41">
        <f t="shared" si="7"/>
        <v>-41468.699985757747</v>
      </c>
      <c r="F48" s="140">
        <f t="shared" si="8"/>
        <v>-950501.0921250009</v>
      </c>
      <c r="G48" s="47">
        <f t="shared" si="9"/>
        <v>-4966.3682063531296</v>
      </c>
      <c r="H48" s="52">
        <f t="shared" si="10"/>
        <v>41468.699985757747</v>
      </c>
      <c r="I48" s="192">
        <f t="shared" si="5"/>
        <v>35745.213359375084</v>
      </c>
      <c r="J48" s="47">
        <f t="shared" ref="J48:J64" si="14">+I48+J47</f>
        <v>107235.64007812526</v>
      </c>
      <c r="K48" s="47">
        <f t="shared" si="11"/>
        <v>-369367.20471354248</v>
      </c>
    </row>
    <row r="49" spans="1:11">
      <c r="A49" s="137">
        <v>40816</v>
      </c>
      <c r="B49" s="3">
        <f t="shared" si="12"/>
        <v>1655.4560687843766</v>
      </c>
      <c r="C49" s="47">
        <f t="shared" si="13"/>
        <v>6621.8242751375064</v>
      </c>
      <c r="D49" s="47">
        <f t="shared" si="6"/>
        <v>943879.26784986339</v>
      </c>
      <c r="E49" s="41">
        <f t="shared" si="7"/>
        <v>-55291.599981010339</v>
      </c>
      <c r="F49" s="140">
        <f t="shared" si="8"/>
        <v>-950501.0921250009</v>
      </c>
      <c r="G49" s="47">
        <f t="shared" si="9"/>
        <v>-6621.8242751375064</v>
      </c>
      <c r="H49" s="52">
        <f t="shared" si="10"/>
        <v>55291.599981010339</v>
      </c>
      <c r="I49" s="192">
        <f t="shared" si="5"/>
        <v>35745.213359375084</v>
      </c>
      <c r="J49" s="47">
        <f t="shared" si="14"/>
        <v>142980.85343750034</v>
      </c>
      <c r="K49" s="47">
        <f t="shared" si="11"/>
        <v>-333621.9913541674</v>
      </c>
    </row>
    <row r="50" spans="1:11">
      <c r="A50" s="137">
        <v>40847</v>
      </c>
      <c r="B50" s="3">
        <f t="shared" si="12"/>
        <v>1655.4560687843766</v>
      </c>
      <c r="C50" s="47">
        <f t="shared" si="13"/>
        <v>8277.2803439218824</v>
      </c>
      <c r="D50" s="47">
        <f t="shared" si="6"/>
        <v>942223.81178107904</v>
      </c>
      <c r="E50" s="41">
        <f t="shared" si="7"/>
        <v>-69114.499976262901</v>
      </c>
      <c r="F50" s="140">
        <f t="shared" si="8"/>
        <v>-950501.0921250009</v>
      </c>
      <c r="G50" s="47">
        <f t="shared" si="9"/>
        <v>-8277.2803439218824</v>
      </c>
      <c r="H50" s="52">
        <f t="shared" si="10"/>
        <v>69114.499976262901</v>
      </c>
      <c r="I50" s="192">
        <f t="shared" si="5"/>
        <v>35745.213359375084</v>
      </c>
      <c r="J50" s="47">
        <f t="shared" si="14"/>
        <v>178726.06679687541</v>
      </c>
      <c r="K50" s="47">
        <f t="shared" si="11"/>
        <v>-297876.77799479233</v>
      </c>
    </row>
    <row r="51" spans="1:11">
      <c r="A51" s="137">
        <v>40877</v>
      </c>
      <c r="B51" s="3">
        <f t="shared" si="12"/>
        <v>1655.4560687843766</v>
      </c>
      <c r="C51" s="47">
        <f t="shared" si="13"/>
        <v>9932.7364127062592</v>
      </c>
      <c r="D51" s="47">
        <f t="shared" si="6"/>
        <v>940568.35571229469</v>
      </c>
      <c r="E51" s="41">
        <f t="shared" si="7"/>
        <v>-82937.399971515493</v>
      </c>
      <c r="F51" s="140">
        <f t="shared" si="8"/>
        <v>-950501.0921250009</v>
      </c>
      <c r="G51" s="47">
        <f t="shared" si="9"/>
        <v>-9932.7364127062592</v>
      </c>
      <c r="H51" s="52">
        <f t="shared" si="10"/>
        <v>82937.399971515493</v>
      </c>
      <c r="I51" s="192">
        <f t="shared" si="5"/>
        <v>35745.213359375084</v>
      </c>
      <c r="J51" s="47">
        <f t="shared" si="14"/>
        <v>214471.28015625049</v>
      </c>
      <c r="K51" s="47">
        <f t="shared" si="11"/>
        <v>-262131.56463541725</v>
      </c>
    </row>
    <row r="52" spans="1:11">
      <c r="A52" s="137">
        <v>40908</v>
      </c>
      <c r="B52" s="131">
        <f t="shared" si="12"/>
        <v>1655.4560687843766</v>
      </c>
      <c r="C52" s="47">
        <f t="shared" si="13"/>
        <v>11588.192481490636</v>
      </c>
      <c r="D52" s="47">
        <f t="shared" si="6"/>
        <v>938912.89964351023</v>
      </c>
      <c r="E52" s="41">
        <f t="shared" si="7"/>
        <v>-96760.299966768056</v>
      </c>
      <c r="F52" s="140">
        <f t="shared" si="8"/>
        <v>-950501.0921250009</v>
      </c>
      <c r="G52" s="47">
        <f t="shared" si="9"/>
        <v>-11588.192481490636</v>
      </c>
      <c r="H52" s="52">
        <f t="shared" si="10"/>
        <v>96760.299966768056</v>
      </c>
      <c r="I52" s="192">
        <f t="shared" si="5"/>
        <v>35745.213359375084</v>
      </c>
      <c r="J52" s="47">
        <f t="shared" si="14"/>
        <v>250216.49351562557</v>
      </c>
      <c r="K52" s="47">
        <f t="shared" si="11"/>
        <v>-226386.35127604217</v>
      </c>
    </row>
    <row r="53" spans="1:11">
      <c r="A53" s="137">
        <v>40939</v>
      </c>
      <c r="B53" s="131">
        <f t="shared" si="12"/>
        <v>1655.4560687843766</v>
      </c>
      <c r="C53" s="47">
        <f t="shared" si="13"/>
        <v>13243.648550275013</v>
      </c>
      <c r="D53" s="47">
        <f t="shared" si="6"/>
        <v>937257.44357472588</v>
      </c>
      <c r="E53" s="41">
        <f t="shared" si="7"/>
        <v>-97178.55629696227</v>
      </c>
      <c r="F53" s="140">
        <f t="shared" si="8"/>
        <v>-950501.0921250009</v>
      </c>
      <c r="G53" s="47">
        <f t="shared" si="9"/>
        <v>-13243.648550275013</v>
      </c>
      <c r="H53" s="52">
        <f t="shared" si="10"/>
        <v>97178.55629696227</v>
      </c>
      <c r="I53" s="192">
        <f>+$B$40*0.0475/12</f>
        <v>1886.5529273003513</v>
      </c>
      <c r="J53" s="47">
        <f t="shared" si="14"/>
        <v>252103.04644292593</v>
      </c>
      <c r="K53" s="47">
        <f t="shared" si="11"/>
        <v>-224499.79834874181</v>
      </c>
    </row>
    <row r="54" spans="1:11">
      <c r="A54" s="137">
        <v>40968</v>
      </c>
      <c r="B54" s="131">
        <f t="shared" si="12"/>
        <v>1655.4560687843766</v>
      </c>
      <c r="C54" s="47">
        <f t="shared" si="13"/>
        <v>14899.10461905939</v>
      </c>
      <c r="D54" s="47">
        <f t="shared" si="6"/>
        <v>935601.98750594154</v>
      </c>
      <c r="E54" s="41">
        <f t="shared" si="7"/>
        <v>-97596.812627156483</v>
      </c>
      <c r="F54" s="140">
        <f t="shared" si="8"/>
        <v>-950501.0921250009</v>
      </c>
      <c r="G54" s="47">
        <f t="shared" si="9"/>
        <v>-14899.10461905939</v>
      </c>
      <c r="H54" s="52">
        <f t="shared" si="10"/>
        <v>97596.812627156483</v>
      </c>
      <c r="I54" s="192">
        <f t="shared" ref="I54:I64" si="15">+$B$40*0.0475/12</f>
        <v>1886.5529273003513</v>
      </c>
      <c r="J54" s="47">
        <f t="shared" si="14"/>
        <v>253989.59937022629</v>
      </c>
      <c r="K54" s="47">
        <f t="shared" si="11"/>
        <v>-222613.24542144145</v>
      </c>
    </row>
    <row r="55" spans="1:11">
      <c r="A55" s="137">
        <v>40999</v>
      </c>
      <c r="B55" s="131">
        <f t="shared" si="12"/>
        <v>1655.4560687843766</v>
      </c>
      <c r="C55" s="47">
        <f t="shared" si="13"/>
        <v>16554.560687843765</v>
      </c>
      <c r="D55" s="47">
        <f t="shared" si="6"/>
        <v>933946.53143715719</v>
      </c>
      <c r="E55" s="41">
        <f t="shared" si="7"/>
        <v>-98015.068957350697</v>
      </c>
      <c r="F55" s="140">
        <f t="shared" si="8"/>
        <v>-950501.0921250009</v>
      </c>
      <c r="G55" s="47">
        <f t="shared" si="9"/>
        <v>-16554.560687843765</v>
      </c>
      <c r="H55" s="52">
        <f t="shared" si="10"/>
        <v>98015.068957350697</v>
      </c>
      <c r="I55" s="192">
        <f t="shared" si="15"/>
        <v>1886.5529273003513</v>
      </c>
      <c r="J55" s="47">
        <f t="shared" si="14"/>
        <v>255876.15229752666</v>
      </c>
      <c r="K55" s="47">
        <f t="shared" si="11"/>
        <v>-220726.69249414108</v>
      </c>
    </row>
    <row r="56" spans="1:11">
      <c r="A56" s="137">
        <v>41029</v>
      </c>
      <c r="B56" s="131">
        <f t="shared" si="12"/>
        <v>1655.4560687843766</v>
      </c>
      <c r="C56" s="47">
        <f t="shared" si="13"/>
        <v>18210.016756628142</v>
      </c>
      <c r="D56" s="47">
        <f t="shared" si="6"/>
        <v>932291.07536837272</v>
      </c>
      <c r="E56" s="41">
        <f t="shared" si="7"/>
        <v>-98433.325287544852</v>
      </c>
      <c r="F56" s="140">
        <f t="shared" si="8"/>
        <v>-950501.0921250009</v>
      </c>
      <c r="G56" s="47">
        <f t="shared" si="9"/>
        <v>-18210.016756628142</v>
      </c>
      <c r="H56" s="52">
        <f t="shared" si="10"/>
        <v>98433.325287544852</v>
      </c>
      <c r="I56" s="192">
        <f t="shared" si="15"/>
        <v>1886.5529273003513</v>
      </c>
      <c r="J56" s="47">
        <f t="shared" si="14"/>
        <v>257762.70522482702</v>
      </c>
      <c r="K56" s="47">
        <f t="shared" si="11"/>
        <v>-218840.13956684072</v>
      </c>
    </row>
    <row r="57" spans="1:11">
      <c r="A57" s="137">
        <v>41060</v>
      </c>
      <c r="B57" s="131">
        <f t="shared" si="12"/>
        <v>1655.4560687843766</v>
      </c>
      <c r="C57" s="47">
        <f t="shared" si="13"/>
        <v>19865.472825412518</v>
      </c>
      <c r="D57" s="47">
        <f t="shared" si="6"/>
        <v>930635.61929958838</v>
      </c>
      <c r="E57" s="41">
        <f t="shared" si="7"/>
        <v>-98851.581617739066</v>
      </c>
      <c r="F57" s="140">
        <f t="shared" si="8"/>
        <v>-950501.0921250009</v>
      </c>
      <c r="G57" s="47">
        <f t="shared" si="9"/>
        <v>-19865.472825412518</v>
      </c>
      <c r="H57" s="52">
        <f t="shared" si="10"/>
        <v>98851.581617739066</v>
      </c>
      <c r="I57" s="192">
        <f t="shared" si="15"/>
        <v>1886.5529273003513</v>
      </c>
      <c r="J57" s="47">
        <f t="shared" si="14"/>
        <v>259649.25815212738</v>
      </c>
      <c r="K57" s="47">
        <f t="shared" si="11"/>
        <v>-216953.58663954036</v>
      </c>
    </row>
    <row r="58" spans="1:11">
      <c r="A58" s="137">
        <v>41090</v>
      </c>
      <c r="B58" s="131">
        <f t="shared" si="12"/>
        <v>1655.4560687843766</v>
      </c>
      <c r="C58" s="47">
        <f t="shared" si="13"/>
        <v>21520.928894196895</v>
      </c>
      <c r="D58" s="47">
        <f t="shared" si="6"/>
        <v>928980.16323080403</v>
      </c>
      <c r="E58" s="41">
        <f t="shared" si="7"/>
        <v>-99269.837947933294</v>
      </c>
      <c r="F58" s="140">
        <f t="shared" si="8"/>
        <v>-950501.0921250009</v>
      </c>
      <c r="G58" s="47">
        <f t="shared" si="9"/>
        <v>-21520.928894196895</v>
      </c>
      <c r="H58" s="52">
        <f t="shared" si="10"/>
        <v>99269.837947933294</v>
      </c>
      <c r="I58" s="192">
        <f t="shared" si="15"/>
        <v>1886.5529273003513</v>
      </c>
      <c r="J58" s="47">
        <f t="shared" si="14"/>
        <v>261535.81107942775</v>
      </c>
      <c r="K58" s="47">
        <f t="shared" si="11"/>
        <v>-215067.03371223999</v>
      </c>
    </row>
    <row r="59" spans="1:11">
      <c r="A59" s="137">
        <v>41121</v>
      </c>
      <c r="B59" s="131">
        <f t="shared" si="12"/>
        <v>1655.4560687843766</v>
      </c>
      <c r="C59" s="47">
        <f t="shared" si="13"/>
        <v>23176.384962981272</v>
      </c>
      <c r="D59" s="47">
        <f t="shared" si="6"/>
        <v>927324.70716201968</v>
      </c>
      <c r="E59" s="41">
        <f t="shared" si="7"/>
        <v>-99688.094278127493</v>
      </c>
      <c r="F59" s="140">
        <f t="shared" si="8"/>
        <v>-950501.0921250009</v>
      </c>
      <c r="G59" s="47">
        <f t="shared" si="9"/>
        <v>-23176.384962981272</v>
      </c>
      <c r="H59" s="52">
        <f t="shared" si="10"/>
        <v>99688.094278127493</v>
      </c>
      <c r="I59" s="192">
        <f t="shared" si="15"/>
        <v>1886.5529273003513</v>
      </c>
      <c r="J59" s="47">
        <f t="shared" si="14"/>
        <v>263422.36400672811</v>
      </c>
      <c r="K59" s="47">
        <f t="shared" si="11"/>
        <v>-213180.48078493963</v>
      </c>
    </row>
    <row r="60" spans="1:11">
      <c r="A60" s="137">
        <v>41152</v>
      </c>
      <c r="B60" s="131">
        <f t="shared" si="12"/>
        <v>1655.4560687843766</v>
      </c>
      <c r="C60" s="47">
        <f t="shared" si="13"/>
        <v>24831.841031765649</v>
      </c>
      <c r="D60" s="47">
        <f t="shared" si="6"/>
        <v>925669.25109323522</v>
      </c>
      <c r="E60" s="41">
        <f t="shared" si="7"/>
        <v>-100106.35060832168</v>
      </c>
      <c r="F60" s="140">
        <f t="shared" si="8"/>
        <v>-950501.0921250009</v>
      </c>
      <c r="G60" s="47">
        <f t="shared" si="9"/>
        <v>-24831.841031765649</v>
      </c>
      <c r="H60" s="52">
        <f t="shared" si="10"/>
        <v>100106.35060832168</v>
      </c>
      <c r="I60" s="192">
        <f t="shared" si="15"/>
        <v>1886.5529273003513</v>
      </c>
      <c r="J60" s="47">
        <f t="shared" si="14"/>
        <v>265308.91693402844</v>
      </c>
      <c r="K60" s="47">
        <f t="shared" si="11"/>
        <v>-211293.92785763927</v>
      </c>
    </row>
    <row r="61" spans="1:11">
      <c r="A61" s="137">
        <v>41182</v>
      </c>
      <c r="B61" s="131">
        <f t="shared" si="12"/>
        <v>1655.4560687843766</v>
      </c>
      <c r="C61" s="47">
        <f t="shared" si="13"/>
        <v>26487.297100550026</v>
      </c>
      <c r="D61" s="47">
        <f t="shared" si="6"/>
        <v>924013.79502445087</v>
      </c>
      <c r="E61" s="41">
        <f t="shared" si="7"/>
        <v>-100524.60693851586</v>
      </c>
      <c r="F61" s="140">
        <f t="shared" si="8"/>
        <v>-950501.0921250009</v>
      </c>
      <c r="G61" s="47">
        <f t="shared" si="9"/>
        <v>-26487.297100550026</v>
      </c>
      <c r="H61" s="52">
        <f t="shared" si="10"/>
        <v>100524.60693851586</v>
      </c>
      <c r="I61" s="192">
        <f t="shared" si="15"/>
        <v>1886.5529273003513</v>
      </c>
      <c r="J61" s="47">
        <f t="shared" si="14"/>
        <v>267195.46986132878</v>
      </c>
      <c r="K61" s="47">
        <f t="shared" si="11"/>
        <v>-209407.3749303389</v>
      </c>
    </row>
    <row r="62" spans="1:11">
      <c r="A62" s="137">
        <v>41213</v>
      </c>
      <c r="B62" s="131">
        <f t="shared" si="12"/>
        <v>1655.4560687843766</v>
      </c>
      <c r="C62" s="47">
        <f t="shared" si="13"/>
        <v>28142.753169334403</v>
      </c>
      <c r="D62" s="47">
        <f t="shared" si="6"/>
        <v>922358.33895566652</v>
      </c>
      <c r="E62" s="41">
        <f t="shared" si="7"/>
        <v>-100942.86326871008</v>
      </c>
      <c r="F62" s="140">
        <f t="shared" si="8"/>
        <v>-950501.0921250009</v>
      </c>
      <c r="G62" s="47">
        <f t="shared" si="9"/>
        <v>-28142.753169334403</v>
      </c>
      <c r="H62" s="52">
        <f t="shared" si="10"/>
        <v>100942.86326871008</v>
      </c>
      <c r="I62" s="192">
        <f t="shared" si="15"/>
        <v>1886.5529273003513</v>
      </c>
      <c r="J62" s="47">
        <f t="shared" si="14"/>
        <v>269082.02278862911</v>
      </c>
      <c r="K62" s="47">
        <f t="shared" si="11"/>
        <v>-207520.82200303854</v>
      </c>
    </row>
    <row r="63" spans="1:11">
      <c r="A63" s="137">
        <v>41243</v>
      </c>
      <c r="B63" s="131">
        <f t="shared" si="12"/>
        <v>1655.4560687843766</v>
      </c>
      <c r="C63" s="47">
        <f t="shared" si="13"/>
        <v>29798.209238118779</v>
      </c>
      <c r="D63" s="47">
        <f t="shared" si="6"/>
        <v>920702.88288688217</v>
      </c>
      <c r="E63" s="41">
        <f t="shared" si="7"/>
        <v>-101361.1195989043</v>
      </c>
      <c r="F63" s="140">
        <f t="shared" si="8"/>
        <v>-950501.0921250009</v>
      </c>
      <c r="G63" s="47">
        <f t="shared" si="9"/>
        <v>-29798.209238118779</v>
      </c>
      <c r="H63" s="52">
        <f t="shared" si="10"/>
        <v>101361.1195989043</v>
      </c>
      <c r="I63" s="192">
        <f t="shared" si="15"/>
        <v>1886.5529273003513</v>
      </c>
      <c r="J63" s="47">
        <f t="shared" si="14"/>
        <v>270968.57571592944</v>
      </c>
      <c r="K63" s="47">
        <f t="shared" si="11"/>
        <v>-205634.26907573818</v>
      </c>
    </row>
    <row r="64" spans="1:11">
      <c r="A64" s="137">
        <v>41274</v>
      </c>
      <c r="B64" s="131">
        <f t="shared" si="12"/>
        <v>1655.4560687843766</v>
      </c>
      <c r="C64" s="47">
        <f t="shared" si="13"/>
        <v>31453.665306903156</v>
      </c>
      <c r="D64" s="47">
        <f t="shared" si="6"/>
        <v>919047.42681809771</v>
      </c>
      <c r="E64" s="41">
        <f t="shared" si="7"/>
        <v>-101779.37592909847</v>
      </c>
      <c r="F64" s="140">
        <f t="shared" si="8"/>
        <v>-950501.0921250009</v>
      </c>
      <c r="G64" s="47">
        <f t="shared" si="9"/>
        <v>-31453.665306903156</v>
      </c>
      <c r="H64" s="52">
        <f t="shared" si="10"/>
        <v>101779.37592909847</v>
      </c>
      <c r="I64" s="192">
        <f t="shared" si="15"/>
        <v>1886.5529273003513</v>
      </c>
      <c r="J64" s="47">
        <f t="shared" si="14"/>
        <v>272855.12864322978</v>
      </c>
      <c r="K64" s="47">
        <f t="shared" si="11"/>
        <v>-203747.71614843782</v>
      </c>
    </row>
    <row r="65" spans="1:11">
      <c r="A65" s="137">
        <v>41305</v>
      </c>
      <c r="B65" s="3">
        <f t="shared" si="12"/>
        <v>1655.4560687843766</v>
      </c>
      <c r="C65" s="47">
        <f t="shared" si="13"/>
        <v>33109.12137568753</v>
      </c>
      <c r="D65" s="47">
        <f t="shared" si="6"/>
        <v>917391.97074931336</v>
      </c>
      <c r="E65" s="41">
        <f t="shared" si="7"/>
        <v>-102122.94362890086</v>
      </c>
      <c r="F65" s="140">
        <f t="shared" si="8"/>
        <v>-950501.0921250009</v>
      </c>
      <c r="G65" s="47">
        <f t="shared" si="9"/>
        <v>-33109.12137568753</v>
      </c>
      <c r="H65" s="52">
        <f t="shared" si="10"/>
        <v>102122.94362890086</v>
      </c>
      <c r="I65" s="505">
        <f>+$B$40*0.04275/12</f>
        <v>1697.8976345703165</v>
      </c>
      <c r="J65" s="47">
        <f>+I65+J64</f>
        <v>274553.02627780009</v>
      </c>
      <c r="K65" s="47">
        <f>+K64+I65</f>
        <v>-202049.8185138675</v>
      </c>
    </row>
    <row r="66" spans="1:11">
      <c r="A66" s="137">
        <v>41333</v>
      </c>
      <c r="B66" s="3">
        <f t="shared" si="12"/>
        <v>1655.4560687843766</v>
      </c>
      <c r="C66" s="47">
        <f t="shared" si="13"/>
        <v>34764.577444471906</v>
      </c>
      <c r="D66" s="47">
        <f t="shared" si="6"/>
        <v>915736.51468052901</v>
      </c>
      <c r="E66" s="41">
        <f t="shared" si="7"/>
        <v>-102466.51132870324</v>
      </c>
      <c r="F66" s="140">
        <f t="shared" si="8"/>
        <v>-950501.0921250009</v>
      </c>
      <c r="G66" s="47">
        <f t="shared" si="9"/>
        <v>-34764.577444471906</v>
      </c>
      <c r="H66" s="52">
        <f t="shared" si="10"/>
        <v>102466.51132870324</v>
      </c>
      <c r="I66" s="505">
        <f t="shared" ref="I66:I76" si="16">+$B$40*0.04275/12</f>
        <v>1697.8976345703165</v>
      </c>
      <c r="J66" s="47">
        <f t="shared" ref="J66:J129" si="17">+I66+J65</f>
        <v>276250.9239123704</v>
      </c>
      <c r="K66" s="47">
        <f t="shared" ref="K66:K129" si="18">+K65+I66</f>
        <v>-200351.92087929719</v>
      </c>
    </row>
    <row r="67" spans="1:11">
      <c r="A67" s="137">
        <v>41364</v>
      </c>
      <c r="B67" s="3">
        <f t="shared" si="12"/>
        <v>1655.4560687843766</v>
      </c>
      <c r="C67" s="47">
        <f t="shared" si="13"/>
        <v>36420.033513256283</v>
      </c>
      <c r="D67" s="47">
        <f t="shared" si="6"/>
        <v>914081.05861174467</v>
      </c>
      <c r="E67" s="41">
        <f t="shared" si="7"/>
        <v>-102810.0790285056</v>
      </c>
      <c r="F67" s="140">
        <f t="shared" si="8"/>
        <v>-950501.0921250009</v>
      </c>
      <c r="G67" s="47">
        <f t="shared" si="9"/>
        <v>-36420.033513256283</v>
      </c>
      <c r="H67" s="52">
        <f t="shared" si="10"/>
        <v>102810.0790285056</v>
      </c>
      <c r="I67" s="505">
        <f t="shared" si="16"/>
        <v>1697.8976345703165</v>
      </c>
      <c r="J67" s="47">
        <f t="shared" si="17"/>
        <v>277948.82154694072</v>
      </c>
      <c r="K67" s="47">
        <f t="shared" si="18"/>
        <v>-198654.02324472688</v>
      </c>
    </row>
    <row r="68" spans="1:11">
      <c r="A68" s="137">
        <v>41394</v>
      </c>
      <c r="B68" s="3">
        <f t="shared" si="12"/>
        <v>1655.4560687843766</v>
      </c>
      <c r="C68" s="47">
        <f t="shared" si="13"/>
        <v>38075.48958204066</v>
      </c>
      <c r="D68" s="47">
        <f t="shared" si="6"/>
        <v>912425.6025429602</v>
      </c>
      <c r="E68" s="41">
        <f t="shared" si="7"/>
        <v>-103153.64672830798</v>
      </c>
      <c r="F68" s="140">
        <f t="shared" si="8"/>
        <v>-950501.0921250009</v>
      </c>
      <c r="G68" s="47">
        <f t="shared" si="9"/>
        <v>-38075.48958204066</v>
      </c>
      <c r="H68" s="52">
        <f t="shared" si="10"/>
        <v>103153.64672830798</v>
      </c>
      <c r="I68" s="505">
        <f t="shared" si="16"/>
        <v>1697.8976345703165</v>
      </c>
      <c r="J68" s="47">
        <f t="shared" si="17"/>
        <v>279646.71918151103</v>
      </c>
      <c r="K68" s="47">
        <f t="shared" si="18"/>
        <v>-196956.12561015657</v>
      </c>
    </row>
    <row r="69" spans="1:11">
      <c r="A69" s="137">
        <v>41425</v>
      </c>
      <c r="B69" s="3">
        <f t="shared" si="12"/>
        <v>1655.4560687843766</v>
      </c>
      <c r="C69" s="47">
        <f t="shared" si="13"/>
        <v>39730.945650825037</v>
      </c>
      <c r="D69" s="47">
        <f t="shared" si="6"/>
        <v>910770.14647417585</v>
      </c>
      <c r="E69" s="41">
        <f t="shared" si="7"/>
        <v>-103497.21442811037</v>
      </c>
      <c r="F69" s="140">
        <f t="shared" si="8"/>
        <v>-950501.0921250009</v>
      </c>
      <c r="G69" s="47">
        <f t="shared" si="9"/>
        <v>-39730.945650825037</v>
      </c>
      <c r="H69" s="52">
        <f t="shared" si="10"/>
        <v>103497.21442811037</v>
      </c>
      <c r="I69" s="505">
        <f t="shared" si="16"/>
        <v>1697.8976345703165</v>
      </c>
      <c r="J69" s="47">
        <f t="shared" si="17"/>
        <v>281344.61681608134</v>
      </c>
      <c r="K69" s="47">
        <f t="shared" si="18"/>
        <v>-195258.22797558625</v>
      </c>
    </row>
    <row r="70" spans="1:11">
      <c r="A70" s="137">
        <v>41455</v>
      </c>
      <c r="B70" s="3">
        <f t="shared" si="12"/>
        <v>1655.4560687843766</v>
      </c>
      <c r="C70" s="47">
        <f t="shared" si="13"/>
        <v>41386.401719609414</v>
      </c>
      <c r="D70" s="47">
        <f t="shared" si="6"/>
        <v>909114.69040539151</v>
      </c>
      <c r="E70" s="41">
        <f t="shared" si="7"/>
        <v>-103840.78212791274</v>
      </c>
      <c r="F70" s="140">
        <f t="shared" si="8"/>
        <v>-950501.0921250009</v>
      </c>
      <c r="G70" s="47">
        <f t="shared" si="9"/>
        <v>-41386.401719609414</v>
      </c>
      <c r="H70" s="52">
        <f t="shared" si="10"/>
        <v>103840.78212791274</v>
      </c>
      <c r="I70" s="505">
        <f t="shared" si="16"/>
        <v>1697.8976345703165</v>
      </c>
      <c r="J70" s="47">
        <f t="shared" si="17"/>
        <v>283042.51445065165</v>
      </c>
      <c r="K70" s="47">
        <f t="shared" si="18"/>
        <v>-193560.33034101594</v>
      </c>
    </row>
    <row r="71" spans="1:11">
      <c r="A71" s="137">
        <v>41486</v>
      </c>
      <c r="B71" s="3">
        <f t="shared" si="12"/>
        <v>1655.4560687843766</v>
      </c>
      <c r="C71" s="47">
        <f t="shared" si="13"/>
        <v>43041.857788393791</v>
      </c>
      <c r="D71" s="47">
        <f t="shared" si="6"/>
        <v>907459.23433660716</v>
      </c>
      <c r="E71" s="41">
        <f t="shared" si="7"/>
        <v>-104184.34982771512</v>
      </c>
      <c r="F71" s="140">
        <f t="shared" si="8"/>
        <v>-950501.0921250009</v>
      </c>
      <c r="G71" s="47">
        <f t="shared" si="9"/>
        <v>-43041.857788393791</v>
      </c>
      <c r="H71" s="52">
        <f t="shared" si="10"/>
        <v>104184.34982771512</v>
      </c>
      <c r="I71" s="505">
        <f t="shared" si="16"/>
        <v>1697.8976345703165</v>
      </c>
      <c r="J71" s="47">
        <f t="shared" si="17"/>
        <v>284740.41208522196</v>
      </c>
      <c r="K71" s="47">
        <f t="shared" si="18"/>
        <v>-191862.43270644563</v>
      </c>
    </row>
    <row r="72" spans="1:11">
      <c r="A72" s="137">
        <v>41517</v>
      </c>
      <c r="B72" s="3">
        <f t="shared" si="12"/>
        <v>1655.4560687843766</v>
      </c>
      <c r="C72" s="47">
        <f>C71+B72</f>
        <v>44697.313857178167</v>
      </c>
      <c r="D72" s="47">
        <f>$B$42-C72</f>
        <v>905803.77826782269</v>
      </c>
      <c r="E72" s="41">
        <f t="shared" si="7"/>
        <v>-104527.91752751748</v>
      </c>
      <c r="F72" s="140">
        <f t="shared" si="8"/>
        <v>-950501.0921250009</v>
      </c>
      <c r="G72" s="47">
        <f t="shared" si="9"/>
        <v>-44697.313857178167</v>
      </c>
      <c r="H72" s="52">
        <f t="shared" si="10"/>
        <v>104527.91752751748</v>
      </c>
      <c r="I72" s="505">
        <f t="shared" si="16"/>
        <v>1697.8976345703165</v>
      </c>
      <c r="J72" s="47">
        <f t="shared" si="17"/>
        <v>286438.30971979228</v>
      </c>
      <c r="K72" s="47">
        <f t="shared" si="18"/>
        <v>-190164.53507187532</v>
      </c>
    </row>
    <row r="73" spans="1:11">
      <c r="A73" s="137">
        <v>41547</v>
      </c>
      <c r="B73" s="3">
        <f t="shared" si="12"/>
        <v>1655.4560687843766</v>
      </c>
      <c r="C73" s="47">
        <f>C72+B73</f>
        <v>46352.769925962544</v>
      </c>
      <c r="D73" s="47">
        <f>$B$42-C73</f>
        <v>904148.32219903835</v>
      </c>
      <c r="E73" s="41">
        <f t="shared" si="7"/>
        <v>-104871.48522731986</v>
      </c>
      <c r="F73" s="140">
        <f t="shared" si="8"/>
        <v>-950501.0921250009</v>
      </c>
      <c r="G73" s="47">
        <f t="shared" si="9"/>
        <v>-46352.769925962544</v>
      </c>
      <c r="H73" s="52">
        <f t="shared" si="10"/>
        <v>104871.48522731986</v>
      </c>
      <c r="I73" s="505">
        <f t="shared" si="16"/>
        <v>1697.8976345703165</v>
      </c>
      <c r="J73" s="47">
        <f t="shared" si="17"/>
        <v>288136.20735436259</v>
      </c>
      <c r="K73" s="47">
        <f t="shared" si="18"/>
        <v>-188466.63743730501</v>
      </c>
    </row>
    <row r="74" spans="1:11">
      <c r="A74" s="137">
        <v>41578</v>
      </c>
      <c r="B74" s="3">
        <f t="shared" si="12"/>
        <v>1655.4560687843766</v>
      </c>
      <c r="C74" s="47">
        <f>C73+B74</f>
        <v>48008.225994746921</v>
      </c>
      <c r="D74" s="47">
        <f>$B$42-C74</f>
        <v>902492.866130254</v>
      </c>
      <c r="E74" s="41">
        <f t="shared" si="7"/>
        <v>-105215.05292712225</v>
      </c>
      <c r="F74" s="140">
        <f t="shared" si="8"/>
        <v>-950501.0921250009</v>
      </c>
      <c r="G74" s="47">
        <f t="shared" si="9"/>
        <v>-48008.225994746921</v>
      </c>
      <c r="H74" s="52">
        <f t="shared" si="10"/>
        <v>105215.05292712225</v>
      </c>
      <c r="I74" s="505">
        <f t="shared" si="16"/>
        <v>1697.8976345703165</v>
      </c>
      <c r="J74" s="47">
        <f t="shared" si="17"/>
        <v>289834.1049889329</v>
      </c>
      <c r="K74" s="47">
        <f t="shared" si="18"/>
        <v>-186768.73980273469</v>
      </c>
    </row>
    <row r="75" spans="1:11">
      <c r="A75" s="137">
        <v>41608</v>
      </c>
      <c r="B75" s="3">
        <f t="shared" si="12"/>
        <v>1655.4560687843766</v>
      </c>
      <c r="C75" s="47">
        <f>C74+B75</f>
        <v>49663.682063531298</v>
      </c>
      <c r="D75" s="47">
        <f>$B$42-C75</f>
        <v>900837.41006146965</v>
      </c>
      <c r="E75" s="41">
        <f t="shared" si="7"/>
        <v>-105558.6206269246</v>
      </c>
      <c r="F75" s="140">
        <f t="shared" si="8"/>
        <v>-950501.0921250009</v>
      </c>
      <c r="G75" s="47">
        <f t="shared" si="9"/>
        <v>-49663.682063531298</v>
      </c>
      <c r="H75" s="52">
        <f t="shared" si="10"/>
        <v>105558.6206269246</v>
      </c>
      <c r="I75" s="505">
        <f t="shared" si="16"/>
        <v>1697.8976345703165</v>
      </c>
      <c r="J75" s="47">
        <f t="shared" si="17"/>
        <v>291532.00262350321</v>
      </c>
      <c r="K75" s="47">
        <f t="shared" si="18"/>
        <v>-185070.84216816438</v>
      </c>
    </row>
    <row r="76" spans="1:11">
      <c r="A76" s="137">
        <v>41639</v>
      </c>
      <c r="B76" s="3">
        <f t="shared" si="12"/>
        <v>1655.4560687843766</v>
      </c>
      <c r="C76" s="47">
        <f>C75+B76</f>
        <v>51319.138132315675</v>
      </c>
      <c r="D76" s="47">
        <f>$B$42-C76</f>
        <v>899181.95399268519</v>
      </c>
      <c r="E76" s="41">
        <f t="shared" si="7"/>
        <v>-105902.18832672697</v>
      </c>
      <c r="F76" s="140">
        <f t="shared" si="8"/>
        <v>-950501.0921250009</v>
      </c>
      <c r="G76" s="47">
        <f t="shared" si="9"/>
        <v>-51319.138132315675</v>
      </c>
      <c r="H76" s="52">
        <f t="shared" si="10"/>
        <v>105902.18832672697</v>
      </c>
      <c r="I76" s="505">
        <f t="shared" si="16"/>
        <v>1697.8976345703165</v>
      </c>
      <c r="J76" s="47">
        <f t="shared" si="17"/>
        <v>293229.90025807353</v>
      </c>
      <c r="K76" s="47">
        <f t="shared" si="18"/>
        <v>-183372.94453359407</v>
      </c>
    </row>
    <row r="77" spans="1:11">
      <c r="A77" s="137">
        <v>41670</v>
      </c>
      <c r="B77" s="3">
        <f t="shared" si="12"/>
        <v>1655.4560687843766</v>
      </c>
      <c r="C77" s="47">
        <f t="shared" ref="C77:C88" si="19">C76+B77</f>
        <v>52974.594201100052</v>
      </c>
      <c r="D77" s="47">
        <f t="shared" ref="D77:D88" si="20">$B$42-C77</f>
        <v>897526.49792390084</v>
      </c>
      <c r="E77" s="41">
        <f>-(D77*$B$38/(+$B$38+$B$39)+K77)*0.3942</f>
        <v>-105722.99558631126</v>
      </c>
      <c r="F77" s="140">
        <f t="shared" si="8"/>
        <v>-950501.0921250009</v>
      </c>
      <c r="G77" s="47">
        <f t="shared" si="9"/>
        <v>-52974.594201100052</v>
      </c>
      <c r="H77" s="52">
        <f t="shared" si="10"/>
        <v>105722.99558631126</v>
      </c>
      <c r="I77" s="505">
        <f>+$B$40*0.0385/12</f>
        <v>1529.1007937066006</v>
      </c>
      <c r="J77" s="47">
        <f t="shared" si="17"/>
        <v>294759.00105178013</v>
      </c>
      <c r="K77" s="47">
        <f t="shared" si="18"/>
        <v>-181843.84373988747</v>
      </c>
    </row>
    <row r="78" spans="1:11">
      <c r="A78" s="137">
        <v>41698</v>
      </c>
      <c r="B78" s="3">
        <f t="shared" si="12"/>
        <v>1655.4560687843766</v>
      </c>
      <c r="C78" s="47">
        <f t="shared" si="19"/>
        <v>54630.050269884428</v>
      </c>
      <c r="D78" s="47">
        <f t="shared" si="20"/>
        <v>895871.04185511649</v>
      </c>
      <c r="E78" s="41">
        <f t="shared" ref="E78:E88" si="21">-(D78*$B$38/(+$B$38+$B$39)+K78)*0.3942</f>
        <v>-105998.54828705601</v>
      </c>
      <c r="F78" s="140">
        <f t="shared" si="8"/>
        <v>-950501.0921250009</v>
      </c>
      <c r="G78" s="47">
        <f t="shared" si="9"/>
        <v>-54630.050269884428</v>
      </c>
      <c r="H78" s="52">
        <f t="shared" si="10"/>
        <v>105998.54828705601</v>
      </c>
      <c r="I78" s="505">
        <f t="shared" ref="I78:I88" si="22">+$B$40*0.0385/12</f>
        <v>1529.1007937066006</v>
      </c>
      <c r="J78" s="47">
        <f t="shared" si="17"/>
        <v>296288.10184548673</v>
      </c>
      <c r="K78" s="47">
        <f t="shared" si="18"/>
        <v>-180314.74294618086</v>
      </c>
    </row>
    <row r="79" spans="1:11">
      <c r="A79" s="137">
        <v>41729</v>
      </c>
      <c r="B79" s="3">
        <f t="shared" si="12"/>
        <v>1655.4560687843766</v>
      </c>
      <c r="C79" s="47">
        <f t="shared" si="19"/>
        <v>56285.506338668805</v>
      </c>
      <c r="D79" s="47">
        <f t="shared" si="20"/>
        <v>894215.58578633214</v>
      </c>
      <c r="E79" s="41">
        <f t="shared" si="21"/>
        <v>-106274.10098780078</v>
      </c>
      <c r="F79" s="140">
        <f t="shared" si="8"/>
        <v>-950501.0921250009</v>
      </c>
      <c r="G79" s="47">
        <f t="shared" si="9"/>
        <v>-56285.506338668805</v>
      </c>
      <c r="H79" s="52">
        <f t="shared" si="10"/>
        <v>106274.10098780078</v>
      </c>
      <c r="I79" s="505">
        <f t="shared" si="22"/>
        <v>1529.1007937066006</v>
      </c>
      <c r="J79" s="47">
        <f t="shared" si="17"/>
        <v>297817.20263919333</v>
      </c>
      <c r="K79" s="47">
        <f t="shared" si="18"/>
        <v>-178785.64215247426</v>
      </c>
    </row>
    <row r="80" spans="1:11">
      <c r="A80" s="137">
        <v>41759</v>
      </c>
      <c r="B80" s="3">
        <f t="shared" si="12"/>
        <v>1655.4560687843766</v>
      </c>
      <c r="C80" s="47">
        <f t="shared" si="19"/>
        <v>57940.962407453182</v>
      </c>
      <c r="D80" s="47">
        <f t="shared" si="20"/>
        <v>892560.12971754768</v>
      </c>
      <c r="E80" s="41">
        <f t="shared" si="21"/>
        <v>-106549.65368854551</v>
      </c>
      <c r="F80" s="140">
        <f t="shared" si="8"/>
        <v>-950501.0921250009</v>
      </c>
      <c r="G80" s="47">
        <f t="shared" si="9"/>
        <v>-57940.962407453182</v>
      </c>
      <c r="H80" s="52">
        <f t="shared" si="10"/>
        <v>106549.65368854551</v>
      </c>
      <c r="I80" s="505">
        <f t="shared" si="22"/>
        <v>1529.1007937066006</v>
      </c>
      <c r="J80" s="47">
        <f t="shared" si="17"/>
        <v>299346.30343289993</v>
      </c>
      <c r="K80" s="47">
        <f t="shared" si="18"/>
        <v>-177256.54135876766</v>
      </c>
    </row>
    <row r="81" spans="1:11">
      <c r="A81" s="137">
        <v>41790</v>
      </c>
      <c r="B81" s="3">
        <f t="shared" si="12"/>
        <v>1655.4560687843766</v>
      </c>
      <c r="C81" s="47">
        <f t="shared" si="19"/>
        <v>59596.418476237559</v>
      </c>
      <c r="D81" s="47">
        <f t="shared" si="20"/>
        <v>890904.67364876333</v>
      </c>
      <c r="E81" s="41">
        <f t="shared" si="21"/>
        <v>-106825.20638929025</v>
      </c>
      <c r="F81" s="140">
        <f t="shared" si="8"/>
        <v>-950501.0921250009</v>
      </c>
      <c r="G81" s="47">
        <f t="shared" si="9"/>
        <v>-59596.418476237559</v>
      </c>
      <c r="H81" s="52">
        <f t="shared" si="10"/>
        <v>106825.20638929025</v>
      </c>
      <c r="I81" s="505">
        <f t="shared" si="22"/>
        <v>1529.1007937066006</v>
      </c>
      <c r="J81" s="47">
        <f t="shared" si="17"/>
        <v>300875.40422660654</v>
      </c>
      <c r="K81" s="47">
        <f t="shared" si="18"/>
        <v>-175727.44056506106</v>
      </c>
    </row>
    <row r="82" spans="1:11">
      <c r="A82" s="137">
        <v>41820</v>
      </c>
      <c r="B82" s="3">
        <f t="shared" si="12"/>
        <v>1655.4560687843766</v>
      </c>
      <c r="C82" s="47">
        <f t="shared" si="19"/>
        <v>61251.874545021936</v>
      </c>
      <c r="D82" s="47">
        <f t="shared" si="20"/>
        <v>889249.21757997898</v>
      </c>
      <c r="E82" s="41">
        <f t="shared" si="21"/>
        <v>-107100.759090035</v>
      </c>
      <c r="F82" s="140">
        <f t="shared" si="8"/>
        <v>-950501.0921250009</v>
      </c>
      <c r="G82" s="47">
        <f t="shared" si="9"/>
        <v>-61251.874545021936</v>
      </c>
      <c r="H82" s="52">
        <f t="shared" si="10"/>
        <v>107100.759090035</v>
      </c>
      <c r="I82" s="505">
        <f t="shared" si="22"/>
        <v>1529.1007937066006</v>
      </c>
      <c r="J82" s="47">
        <f t="shared" si="17"/>
        <v>302404.50502031314</v>
      </c>
      <c r="K82" s="47">
        <f t="shared" si="18"/>
        <v>-174198.33977135445</v>
      </c>
    </row>
    <row r="83" spans="1:11">
      <c r="A83" s="137">
        <v>41851</v>
      </c>
      <c r="B83" s="3">
        <f t="shared" si="12"/>
        <v>1655.4560687843766</v>
      </c>
      <c r="C83" s="47">
        <f t="shared" si="19"/>
        <v>62907.330613806313</v>
      </c>
      <c r="D83" s="47">
        <f t="shared" si="20"/>
        <v>887593.76151119464</v>
      </c>
      <c r="E83" s="41">
        <f t="shared" si="21"/>
        <v>-107376.31179077977</v>
      </c>
      <c r="F83" s="140">
        <f t="shared" si="8"/>
        <v>-950501.0921250009</v>
      </c>
      <c r="G83" s="47">
        <f t="shared" si="9"/>
        <v>-62907.330613806313</v>
      </c>
      <c r="H83" s="52">
        <f t="shared" si="10"/>
        <v>107376.31179077977</v>
      </c>
      <c r="I83" s="505">
        <f t="shared" si="22"/>
        <v>1529.1007937066006</v>
      </c>
      <c r="J83" s="47">
        <f t="shared" si="17"/>
        <v>303933.60581401974</v>
      </c>
      <c r="K83" s="47">
        <f t="shared" si="18"/>
        <v>-172669.23897764785</v>
      </c>
    </row>
    <row r="84" spans="1:11">
      <c r="A84" s="137">
        <v>41882</v>
      </c>
      <c r="B84" s="3">
        <f t="shared" si="12"/>
        <v>1655.4560687843766</v>
      </c>
      <c r="C84" s="47">
        <f t="shared" si="19"/>
        <v>64562.786682590689</v>
      </c>
      <c r="D84" s="47">
        <f t="shared" si="20"/>
        <v>885938.30544241017</v>
      </c>
      <c r="E84" s="41">
        <f t="shared" si="21"/>
        <v>-107651.86449152451</v>
      </c>
      <c r="F84" s="140">
        <f t="shared" si="8"/>
        <v>-950501.0921250009</v>
      </c>
      <c r="G84" s="47">
        <f t="shared" si="9"/>
        <v>-64562.786682590689</v>
      </c>
      <c r="H84" s="52">
        <f t="shared" si="10"/>
        <v>107651.86449152451</v>
      </c>
      <c r="I84" s="505">
        <f t="shared" si="22"/>
        <v>1529.1007937066006</v>
      </c>
      <c r="J84" s="47">
        <f t="shared" si="17"/>
        <v>305462.70660772634</v>
      </c>
      <c r="K84" s="47">
        <f t="shared" si="18"/>
        <v>-171140.13818394125</v>
      </c>
    </row>
    <row r="85" spans="1:11">
      <c r="A85" s="137">
        <v>41912</v>
      </c>
      <c r="B85" s="3">
        <f t="shared" si="12"/>
        <v>1655.4560687843766</v>
      </c>
      <c r="C85" s="47">
        <f t="shared" si="19"/>
        <v>66218.242751375059</v>
      </c>
      <c r="D85" s="47">
        <f t="shared" si="20"/>
        <v>884282.84937362582</v>
      </c>
      <c r="E85" s="41">
        <f t="shared" si="21"/>
        <v>-107927.41719226926</v>
      </c>
      <c r="F85" s="140">
        <f t="shared" si="8"/>
        <v>-950501.0921250009</v>
      </c>
      <c r="G85" s="47">
        <f t="shared" si="9"/>
        <v>-66218.242751375059</v>
      </c>
      <c r="H85" s="52">
        <f t="shared" si="10"/>
        <v>107927.41719226926</v>
      </c>
      <c r="I85" s="505">
        <f t="shared" si="22"/>
        <v>1529.1007937066006</v>
      </c>
      <c r="J85" s="47">
        <f t="shared" si="17"/>
        <v>306991.80740143295</v>
      </c>
      <c r="K85" s="47">
        <f t="shared" si="18"/>
        <v>-169611.03739023465</v>
      </c>
    </row>
    <row r="86" spans="1:11">
      <c r="A86" s="137">
        <v>41943</v>
      </c>
      <c r="B86" s="3">
        <f t="shared" si="12"/>
        <v>1655.4560687843766</v>
      </c>
      <c r="C86" s="47">
        <f t="shared" si="19"/>
        <v>67873.698820159436</v>
      </c>
      <c r="D86" s="47">
        <f t="shared" si="20"/>
        <v>882627.39330484148</v>
      </c>
      <c r="E86" s="41">
        <f t="shared" si="21"/>
        <v>-108202.969893014</v>
      </c>
      <c r="F86" s="140">
        <f t="shared" si="8"/>
        <v>-950501.0921250009</v>
      </c>
      <c r="G86" s="47">
        <f t="shared" si="9"/>
        <v>-67873.698820159436</v>
      </c>
      <c r="H86" s="52">
        <f t="shared" si="10"/>
        <v>108202.969893014</v>
      </c>
      <c r="I86" s="505">
        <f t="shared" si="22"/>
        <v>1529.1007937066006</v>
      </c>
      <c r="J86" s="47">
        <f t="shared" si="17"/>
        <v>308520.90819513955</v>
      </c>
      <c r="K86" s="47">
        <f t="shared" si="18"/>
        <v>-168081.93659652804</v>
      </c>
    </row>
    <row r="87" spans="1:11">
      <c r="A87" s="137">
        <v>41973</v>
      </c>
      <c r="B87" s="3">
        <f t="shared" si="12"/>
        <v>1655.4560687843766</v>
      </c>
      <c r="C87" s="47">
        <f t="shared" si="19"/>
        <v>69529.154888943813</v>
      </c>
      <c r="D87" s="47">
        <f t="shared" si="20"/>
        <v>880971.93723605713</v>
      </c>
      <c r="E87" s="41">
        <f t="shared" si="21"/>
        <v>-108478.52259375877</v>
      </c>
      <c r="F87" s="140">
        <f t="shared" si="8"/>
        <v>-950501.0921250009</v>
      </c>
      <c r="G87" s="47">
        <f t="shared" si="9"/>
        <v>-69529.154888943813</v>
      </c>
      <c r="H87" s="52">
        <f t="shared" si="10"/>
        <v>108478.52259375877</v>
      </c>
      <c r="I87" s="505">
        <f t="shared" si="22"/>
        <v>1529.1007937066006</v>
      </c>
      <c r="J87" s="47">
        <f t="shared" si="17"/>
        <v>310050.00898884615</v>
      </c>
      <c r="K87" s="47">
        <f t="shared" si="18"/>
        <v>-166552.83580282144</v>
      </c>
    </row>
    <row r="88" spans="1:11">
      <c r="A88" s="137">
        <v>42004</v>
      </c>
      <c r="B88" s="3">
        <f t="shared" si="12"/>
        <v>1655.4560687843766</v>
      </c>
      <c r="C88" s="47">
        <f t="shared" si="19"/>
        <v>71184.61095772819</v>
      </c>
      <c r="D88" s="47">
        <f t="shared" si="20"/>
        <v>879316.48116727266</v>
      </c>
      <c r="E88" s="41">
        <f t="shared" si="21"/>
        <v>-108754.07529450353</v>
      </c>
      <c r="F88" s="140">
        <f t="shared" si="8"/>
        <v>-950501.0921250009</v>
      </c>
      <c r="G88" s="47">
        <f t="shared" si="9"/>
        <v>-71184.61095772819</v>
      </c>
      <c r="H88" s="52">
        <f t="shared" si="10"/>
        <v>108754.07529450353</v>
      </c>
      <c r="I88" s="505">
        <f t="shared" si="22"/>
        <v>1529.1007937066006</v>
      </c>
      <c r="J88" s="47">
        <f t="shared" si="17"/>
        <v>311579.10978255275</v>
      </c>
      <c r="K88" s="47">
        <f t="shared" si="18"/>
        <v>-165023.73500911484</v>
      </c>
    </row>
    <row r="89" spans="1:11">
      <c r="A89" s="137">
        <v>42035</v>
      </c>
      <c r="B89" s="3">
        <f t="shared" si="12"/>
        <v>1655.4560687843766</v>
      </c>
      <c r="C89" s="47">
        <f>C88+B89</f>
        <v>72840.067026512566</v>
      </c>
      <c r="D89" s="47">
        <f>$B$42-C89</f>
        <v>877661.02509848832</v>
      </c>
      <c r="E89" s="41">
        <f>-(D89*$B$38/(+$B$38+$B$39)+K89)*0.3919</f>
        <v>-108333.55807956435</v>
      </c>
      <c r="F89" s="140">
        <f t="shared" si="8"/>
        <v>-950501.0921250009</v>
      </c>
      <c r="G89" s="47">
        <f t="shared" si="9"/>
        <v>-72840.067026512566</v>
      </c>
      <c r="H89" s="52">
        <f t="shared" si="10"/>
        <v>108333.55807956435</v>
      </c>
      <c r="I89" s="505">
        <f>+$B$40*0.03465/12</f>
        <v>1376.1907143359406</v>
      </c>
      <c r="J89" s="47">
        <f t="shared" si="17"/>
        <v>312955.3004968887</v>
      </c>
      <c r="K89" s="47">
        <f t="shared" si="18"/>
        <v>-163647.5442947789</v>
      </c>
    </row>
    <row r="90" spans="1:11">
      <c r="A90" s="137">
        <v>42063</v>
      </c>
      <c r="B90" s="3">
        <f t="shared" si="12"/>
        <v>1655.4560687843766</v>
      </c>
      <c r="C90" s="47">
        <f t="shared" ref="C90:C147" si="23">C89+B90</f>
        <v>74495.523095296943</v>
      </c>
      <c r="D90" s="47">
        <f t="shared" ref="D90:D147" si="24">$B$42-C90</f>
        <v>876005.56902970397</v>
      </c>
      <c r="E90" s="41">
        <f t="shared" ref="E90:E99" si="25">-(D90*$B$38/(+$B$38+$B$39)+K90)*0.3919</f>
        <v>-108547.57757994065</v>
      </c>
      <c r="F90" s="140">
        <f t="shared" si="8"/>
        <v>-950501.0921250009</v>
      </c>
      <c r="G90" s="47">
        <f t="shared" si="9"/>
        <v>-74495.523095296943</v>
      </c>
      <c r="H90" s="52">
        <f t="shared" si="10"/>
        <v>108547.57757994065</v>
      </c>
      <c r="I90" s="505">
        <f t="shared" ref="I90:I100" si="26">+$B$40*0.03465/12</f>
        <v>1376.1907143359406</v>
      </c>
      <c r="J90" s="47">
        <f t="shared" si="17"/>
        <v>314331.49121122464</v>
      </c>
      <c r="K90" s="47">
        <f t="shared" si="18"/>
        <v>-162271.35358044296</v>
      </c>
    </row>
    <row r="91" spans="1:11">
      <c r="A91" s="137">
        <v>42094</v>
      </c>
      <c r="B91" s="3">
        <f t="shared" si="12"/>
        <v>1655.4560687843766</v>
      </c>
      <c r="C91" s="47">
        <f t="shared" si="23"/>
        <v>76150.97916408132</v>
      </c>
      <c r="D91" s="47">
        <f t="shared" si="24"/>
        <v>874350.11296091962</v>
      </c>
      <c r="E91" s="41">
        <f t="shared" si="25"/>
        <v>-108761.59708031695</v>
      </c>
      <c r="F91" s="140">
        <f t="shared" si="8"/>
        <v>-950501.0921250009</v>
      </c>
      <c r="G91" s="47">
        <f t="shared" si="9"/>
        <v>-76150.97916408132</v>
      </c>
      <c r="H91" s="52">
        <f t="shared" si="10"/>
        <v>108761.59708031695</v>
      </c>
      <c r="I91" s="505">
        <f t="shared" si="26"/>
        <v>1376.1907143359406</v>
      </c>
      <c r="J91" s="47">
        <f t="shared" si="17"/>
        <v>315707.68192556058</v>
      </c>
      <c r="K91" s="47">
        <f t="shared" si="18"/>
        <v>-160895.16286610701</v>
      </c>
    </row>
    <row r="92" spans="1:11">
      <c r="A92" s="137">
        <v>42124</v>
      </c>
      <c r="B92" s="3">
        <f t="shared" si="12"/>
        <v>1655.4560687843766</v>
      </c>
      <c r="C92" s="47">
        <f t="shared" si="23"/>
        <v>77806.435232865697</v>
      </c>
      <c r="D92" s="47">
        <f t="shared" si="24"/>
        <v>872694.65689213516</v>
      </c>
      <c r="E92" s="41">
        <f t="shared" si="25"/>
        <v>-108975.61658069321</v>
      </c>
      <c r="F92" s="140">
        <f t="shared" si="8"/>
        <v>-950501.0921250009</v>
      </c>
      <c r="G92" s="47">
        <f t="shared" si="9"/>
        <v>-77806.435232865697</v>
      </c>
      <c r="H92" s="52">
        <f t="shared" si="10"/>
        <v>108975.61658069321</v>
      </c>
      <c r="I92" s="505">
        <f t="shared" si="26"/>
        <v>1376.1907143359406</v>
      </c>
      <c r="J92" s="47">
        <f t="shared" si="17"/>
        <v>317083.87263989652</v>
      </c>
      <c r="K92" s="47">
        <f t="shared" si="18"/>
        <v>-159518.97215177107</v>
      </c>
    </row>
    <row r="93" spans="1:11">
      <c r="A93" s="137">
        <v>42155</v>
      </c>
      <c r="B93" s="3">
        <f t="shared" si="12"/>
        <v>1655.4560687843766</v>
      </c>
      <c r="C93" s="47">
        <f t="shared" si="23"/>
        <v>79461.891301650074</v>
      </c>
      <c r="D93" s="47">
        <f t="shared" si="24"/>
        <v>871039.20082335081</v>
      </c>
      <c r="E93" s="41">
        <f t="shared" si="25"/>
        <v>-109189.63608106953</v>
      </c>
      <c r="F93" s="140">
        <f t="shared" si="8"/>
        <v>-950501.0921250009</v>
      </c>
      <c r="G93" s="47">
        <f t="shared" si="9"/>
        <v>-79461.891301650074</v>
      </c>
      <c r="H93" s="52">
        <f t="shared" si="10"/>
        <v>109189.63608106953</v>
      </c>
      <c r="I93" s="505">
        <f t="shared" si="26"/>
        <v>1376.1907143359406</v>
      </c>
      <c r="J93" s="47">
        <f t="shared" si="17"/>
        <v>318460.06335423246</v>
      </c>
      <c r="K93" s="47">
        <f t="shared" si="18"/>
        <v>-158142.78143743513</v>
      </c>
    </row>
    <row r="94" spans="1:11">
      <c r="A94" s="137">
        <v>42185</v>
      </c>
      <c r="B94" s="3">
        <f t="shared" si="12"/>
        <v>1655.4560687843766</v>
      </c>
      <c r="C94" s="47">
        <f t="shared" si="23"/>
        <v>81117.347370434451</v>
      </c>
      <c r="D94" s="47">
        <f t="shared" si="24"/>
        <v>869383.74475456646</v>
      </c>
      <c r="E94" s="41">
        <f t="shared" si="25"/>
        <v>-109403.65558144581</v>
      </c>
      <c r="F94" s="140">
        <f t="shared" si="8"/>
        <v>-950501.0921250009</v>
      </c>
      <c r="G94" s="47">
        <f t="shared" si="9"/>
        <v>-81117.347370434451</v>
      </c>
      <c r="H94" s="52">
        <f t="shared" si="10"/>
        <v>109403.65558144581</v>
      </c>
      <c r="I94" s="505">
        <f t="shared" si="26"/>
        <v>1376.1907143359406</v>
      </c>
      <c r="J94" s="47">
        <f t="shared" si="17"/>
        <v>319836.25406856841</v>
      </c>
      <c r="K94" s="47">
        <f t="shared" si="18"/>
        <v>-156766.59072309919</v>
      </c>
    </row>
    <row r="95" spans="1:11">
      <c r="A95" s="137">
        <v>42216</v>
      </c>
      <c r="B95" s="3">
        <f t="shared" si="12"/>
        <v>1655.4560687843766</v>
      </c>
      <c r="C95" s="47">
        <f t="shared" si="23"/>
        <v>82772.803439218827</v>
      </c>
      <c r="D95" s="47">
        <f t="shared" si="24"/>
        <v>867728.28868578211</v>
      </c>
      <c r="E95" s="41">
        <f t="shared" si="25"/>
        <v>-109617.6750818221</v>
      </c>
      <c r="F95" s="140">
        <f t="shared" si="8"/>
        <v>-950501.0921250009</v>
      </c>
      <c r="G95" s="47">
        <f t="shared" si="9"/>
        <v>-82772.803439218827</v>
      </c>
      <c r="H95" s="52">
        <f t="shared" si="10"/>
        <v>109617.6750818221</v>
      </c>
      <c r="I95" s="505">
        <f t="shared" si="26"/>
        <v>1376.1907143359406</v>
      </c>
      <c r="J95" s="47">
        <f t="shared" si="17"/>
        <v>321212.44478290435</v>
      </c>
      <c r="K95" s="47">
        <f t="shared" si="18"/>
        <v>-155390.40000876324</v>
      </c>
    </row>
    <row r="96" spans="1:11">
      <c r="A96" s="137">
        <v>42247</v>
      </c>
      <c r="B96" s="3">
        <f t="shared" si="12"/>
        <v>1655.4560687843766</v>
      </c>
      <c r="C96" s="47">
        <f t="shared" si="23"/>
        <v>84428.259508003204</v>
      </c>
      <c r="D96" s="47">
        <f t="shared" si="24"/>
        <v>866072.83261699765</v>
      </c>
      <c r="E96" s="41">
        <f t="shared" si="25"/>
        <v>-109831.6945821984</v>
      </c>
      <c r="F96" s="140">
        <f t="shared" si="8"/>
        <v>-950501.0921250009</v>
      </c>
      <c r="G96" s="47">
        <f t="shared" si="9"/>
        <v>-84428.259508003204</v>
      </c>
      <c r="H96" s="52">
        <f t="shared" si="10"/>
        <v>109831.6945821984</v>
      </c>
      <c r="I96" s="505">
        <f t="shared" si="26"/>
        <v>1376.1907143359406</v>
      </c>
      <c r="J96" s="47">
        <f t="shared" si="17"/>
        <v>322588.63549724029</v>
      </c>
      <c r="K96" s="47">
        <f t="shared" si="18"/>
        <v>-154014.2092944273</v>
      </c>
    </row>
    <row r="97" spans="1:11">
      <c r="A97" s="137">
        <v>42277</v>
      </c>
      <c r="B97" s="3">
        <f t="shared" si="12"/>
        <v>1655.4560687843766</v>
      </c>
      <c r="C97" s="47">
        <f t="shared" si="23"/>
        <v>86083.715576787581</v>
      </c>
      <c r="D97" s="47">
        <f t="shared" si="24"/>
        <v>864417.3765482133</v>
      </c>
      <c r="E97" s="41">
        <f t="shared" si="25"/>
        <v>-110045.71408257468</v>
      </c>
      <c r="F97" s="140">
        <f t="shared" si="8"/>
        <v>-950501.0921250009</v>
      </c>
      <c r="G97" s="47">
        <f t="shared" si="9"/>
        <v>-86083.715576787581</v>
      </c>
      <c r="H97" s="52">
        <f t="shared" si="10"/>
        <v>110045.71408257468</v>
      </c>
      <c r="I97" s="505">
        <f t="shared" si="26"/>
        <v>1376.1907143359406</v>
      </c>
      <c r="J97" s="47">
        <f t="shared" si="17"/>
        <v>323964.82621157623</v>
      </c>
      <c r="K97" s="47">
        <f t="shared" si="18"/>
        <v>-152638.01858009136</v>
      </c>
    </row>
    <row r="98" spans="1:11">
      <c r="A98" s="137">
        <v>42308</v>
      </c>
      <c r="B98" s="3">
        <f t="shared" si="12"/>
        <v>1655.4560687843766</v>
      </c>
      <c r="C98" s="47">
        <f t="shared" si="23"/>
        <v>87739.171645571958</v>
      </c>
      <c r="D98" s="47">
        <f t="shared" si="24"/>
        <v>862761.92047942895</v>
      </c>
      <c r="E98" s="41">
        <f t="shared" si="25"/>
        <v>-110259.733582951</v>
      </c>
      <c r="F98" s="140">
        <f t="shared" si="8"/>
        <v>-950501.0921250009</v>
      </c>
      <c r="G98" s="47">
        <f t="shared" si="9"/>
        <v>-87739.171645571958</v>
      </c>
      <c r="H98" s="52">
        <f t="shared" si="10"/>
        <v>110259.733582951</v>
      </c>
      <c r="I98" s="505">
        <f t="shared" si="26"/>
        <v>1376.1907143359406</v>
      </c>
      <c r="J98" s="47">
        <f t="shared" si="17"/>
        <v>325341.01692591218</v>
      </c>
      <c r="K98" s="47">
        <f t="shared" si="18"/>
        <v>-151261.82786575542</v>
      </c>
    </row>
    <row r="99" spans="1:11">
      <c r="A99" s="137">
        <v>42338</v>
      </c>
      <c r="B99" s="3">
        <f t="shared" si="12"/>
        <v>1655.4560687843766</v>
      </c>
      <c r="C99" s="47">
        <f t="shared" si="23"/>
        <v>89394.627714356335</v>
      </c>
      <c r="D99" s="47">
        <f t="shared" si="24"/>
        <v>861106.46441064461</v>
      </c>
      <c r="E99" s="41">
        <f t="shared" si="25"/>
        <v>-110473.75308332729</v>
      </c>
      <c r="F99" s="140">
        <f t="shared" si="8"/>
        <v>-950501.0921250009</v>
      </c>
      <c r="G99" s="47">
        <f t="shared" si="9"/>
        <v>-89394.627714356335</v>
      </c>
      <c r="H99" s="52">
        <f t="shared" si="10"/>
        <v>110473.75308332729</v>
      </c>
      <c r="I99" s="505">
        <f t="shared" si="26"/>
        <v>1376.1907143359406</v>
      </c>
      <c r="J99" s="47">
        <f t="shared" si="17"/>
        <v>326717.20764024812</v>
      </c>
      <c r="K99" s="47">
        <f t="shared" si="18"/>
        <v>-149885.63715141948</v>
      </c>
    </row>
    <row r="100" spans="1:11">
      <c r="A100" s="137">
        <v>42369</v>
      </c>
      <c r="B100" s="3">
        <f t="shared" si="12"/>
        <v>1655.4560687843766</v>
      </c>
      <c r="C100" s="47">
        <f t="shared" si="23"/>
        <v>91050.083783140712</v>
      </c>
      <c r="D100" s="47">
        <f t="shared" si="24"/>
        <v>859451.00834186014</v>
      </c>
      <c r="E100" s="41">
        <f>-(D100*$B$38/(+$B$38+$B$39)+K100)*0.3919</f>
        <v>-110687.77258370355</v>
      </c>
      <c r="F100" s="140">
        <f t="shared" si="8"/>
        <v>-950501.0921250009</v>
      </c>
      <c r="G100" s="47">
        <f t="shared" si="9"/>
        <v>-91050.083783140712</v>
      </c>
      <c r="H100" s="52">
        <f t="shared" si="10"/>
        <v>110687.77258370355</v>
      </c>
      <c r="I100" s="505">
        <f t="shared" si="26"/>
        <v>1376.1907143359406</v>
      </c>
      <c r="J100" s="47">
        <f t="shared" si="17"/>
        <v>328093.39835458406</v>
      </c>
      <c r="K100" s="47">
        <f t="shared" si="18"/>
        <v>-148509.44643708353</v>
      </c>
    </row>
    <row r="101" spans="1:11">
      <c r="A101" s="137">
        <v>42400</v>
      </c>
      <c r="B101" s="3">
        <f t="shared" si="12"/>
        <v>1655.4560687843766</v>
      </c>
      <c r="C101" s="47">
        <f t="shared" si="23"/>
        <v>92705.539851925088</v>
      </c>
      <c r="D101" s="47">
        <f t="shared" si="24"/>
        <v>857795.55227307579</v>
      </c>
      <c r="E101" s="41">
        <f>-(D101*$B$38/(+$B$38+$B$39)+K101)*0.3902</f>
        <v>-110366.47633625376</v>
      </c>
      <c r="F101" s="140">
        <f t="shared" si="8"/>
        <v>-950501.0921250009</v>
      </c>
      <c r="G101" s="47">
        <f t="shared" si="9"/>
        <v>-92705.539851925088</v>
      </c>
      <c r="H101" s="52">
        <f t="shared" si="10"/>
        <v>110366.47633625376</v>
      </c>
      <c r="I101" s="505">
        <f>+$B$40*0.03115/12</f>
        <v>1237.1815512717042</v>
      </c>
      <c r="J101" s="47">
        <f t="shared" si="17"/>
        <v>329330.57990585576</v>
      </c>
      <c r="K101" s="47">
        <f t="shared" si="18"/>
        <v>-147272.26488581183</v>
      </c>
    </row>
    <row r="102" spans="1:11">
      <c r="A102" s="137">
        <v>42429</v>
      </c>
      <c r="B102" s="3">
        <f t="shared" si="12"/>
        <v>1655.4560687843766</v>
      </c>
      <c r="C102" s="47">
        <f t="shared" si="23"/>
        <v>94360.995920709465</v>
      </c>
      <c r="D102" s="47">
        <f t="shared" si="24"/>
        <v>856140.09620429145</v>
      </c>
      <c r="E102" s="41">
        <f t="shared" ref="E102:E112" si="27">-(D102*$B$38/(+$B$38+$B$39)+K102)*0.3902</f>
        <v>-110525.32607857765</v>
      </c>
      <c r="F102" s="140">
        <f t="shared" si="8"/>
        <v>-950501.0921250009</v>
      </c>
      <c r="G102" s="47">
        <f t="shared" si="9"/>
        <v>-94360.995920709465</v>
      </c>
      <c r="H102" s="52">
        <f t="shared" si="10"/>
        <v>110525.32607857765</v>
      </c>
      <c r="I102" s="505">
        <f t="shared" ref="I102:I112" si="28">+$B$40*0.03115/12</f>
        <v>1237.1815512717042</v>
      </c>
      <c r="J102" s="47">
        <f t="shared" si="17"/>
        <v>330567.76145712746</v>
      </c>
      <c r="K102" s="47">
        <f t="shared" si="18"/>
        <v>-146035.08333454013</v>
      </c>
    </row>
    <row r="103" spans="1:11">
      <c r="A103" s="137">
        <v>42460</v>
      </c>
      <c r="B103" s="3">
        <f t="shared" si="12"/>
        <v>1655.4560687843766</v>
      </c>
      <c r="C103" s="47">
        <f t="shared" si="23"/>
        <v>96016.451989493842</v>
      </c>
      <c r="D103" s="47">
        <f t="shared" si="24"/>
        <v>854484.6401355071</v>
      </c>
      <c r="E103" s="41">
        <f t="shared" si="27"/>
        <v>-110684.17582090154</v>
      </c>
      <c r="F103" s="140">
        <f t="shared" si="8"/>
        <v>-950501.0921250009</v>
      </c>
      <c r="G103" s="47">
        <f t="shared" si="9"/>
        <v>-96016.451989493842</v>
      </c>
      <c r="H103" s="52">
        <f t="shared" si="10"/>
        <v>110684.17582090154</v>
      </c>
      <c r="I103" s="505">
        <f t="shared" si="28"/>
        <v>1237.1815512717042</v>
      </c>
      <c r="J103" s="47">
        <f t="shared" si="17"/>
        <v>331804.94300839916</v>
      </c>
      <c r="K103" s="47">
        <f t="shared" si="18"/>
        <v>-144797.90178326843</v>
      </c>
    </row>
    <row r="104" spans="1:11">
      <c r="A104" s="137">
        <v>42490</v>
      </c>
      <c r="B104" s="3">
        <f t="shared" si="12"/>
        <v>1655.4560687843766</v>
      </c>
      <c r="C104" s="47">
        <f t="shared" si="23"/>
        <v>97671.908058278219</v>
      </c>
      <c r="D104" s="47">
        <f t="shared" si="24"/>
        <v>852829.18406672264</v>
      </c>
      <c r="E104" s="41">
        <f t="shared" si="27"/>
        <v>-110843.0255632254</v>
      </c>
      <c r="F104" s="140">
        <f t="shared" si="8"/>
        <v>-950501.0921250009</v>
      </c>
      <c r="G104" s="47">
        <f t="shared" si="9"/>
        <v>-97671.908058278219</v>
      </c>
      <c r="H104" s="52">
        <f t="shared" si="10"/>
        <v>110843.0255632254</v>
      </c>
      <c r="I104" s="505">
        <f t="shared" si="28"/>
        <v>1237.1815512717042</v>
      </c>
      <c r="J104" s="47">
        <f t="shared" si="17"/>
        <v>333042.12455967086</v>
      </c>
      <c r="K104" s="47">
        <f t="shared" si="18"/>
        <v>-143560.72023199673</v>
      </c>
    </row>
    <row r="105" spans="1:11">
      <c r="A105" s="137">
        <v>42521</v>
      </c>
      <c r="B105" s="3">
        <f t="shared" si="12"/>
        <v>1655.4560687843766</v>
      </c>
      <c r="C105" s="47">
        <f t="shared" si="23"/>
        <v>99327.364127062596</v>
      </c>
      <c r="D105" s="47">
        <f t="shared" si="24"/>
        <v>851173.72799793829</v>
      </c>
      <c r="E105" s="41">
        <f t="shared" si="27"/>
        <v>-111001.87530554929</v>
      </c>
      <c r="F105" s="140">
        <f t="shared" si="8"/>
        <v>-950501.0921250009</v>
      </c>
      <c r="G105" s="47">
        <f t="shared" si="9"/>
        <v>-99327.364127062596</v>
      </c>
      <c r="H105" s="52">
        <f t="shared" si="10"/>
        <v>111001.87530554929</v>
      </c>
      <c r="I105" s="505">
        <f t="shared" si="28"/>
        <v>1237.1815512717042</v>
      </c>
      <c r="J105" s="47">
        <f t="shared" si="17"/>
        <v>334279.30611094256</v>
      </c>
      <c r="K105" s="47">
        <f t="shared" si="18"/>
        <v>-142323.53868072503</v>
      </c>
    </row>
    <row r="106" spans="1:11">
      <c r="A106" s="137">
        <v>42551</v>
      </c>
      <c r="B106" s="3">
        <f t="shared" si="12"/>
        <v>1655.4560687843766</v>
      </c>
      <c r="C106" s="47">
        <f t="shared" si="23"/>
        <v>100982.82019584697</v>
      </c>
      <c r="D106" s="47">
        <f t="shared" si="24"/>
        <v>849518.27192915394</v>
      </c>
      <c r="E106" s="41">
        <f t="shared" si="27"/>
        <v>-111160.72504787314</v>
      </c>
      <c r="F106" s="140">
        <f t="shared" si="8"/>
        <v>-950501.0921250009</v>
      </c>
      <c r="G106" s="47">
        <f t="shared" si="9"/>
        <v>-100982.82019584697</v>
      </c>
      <c r="H106" s="52">
        <f t="shared" si="10"/>
        <v>111160.72504787314</v>
      </c>
      <c r="I106" s="505">
        <f t="shared" si="28"/>
        <v>1237.1815512717042</v>
      </c>
      <c r="J106" s="47">
        <f t="shared" si="17"/>
        <v>335516.48766221426</v>
      </c>
      <c r="K106" s="47">
        <f t="shared" si="18"/>
        <v>-141086.35712945333</v>
      </c>
    </row>
    <row r="107" spans="1:11">
      <c r="A107" s="137">
        <v>42582</v>
      </c>
      <c r="B107" s="3">
        <f t="shared" si="12"/>
        <v>1655.4560687843766</v>
      </c>
      <c r="C107" s="47">
        <f t="shared" si="23"/>
        <v>102638.27626463135</v>
      </c>
      <c r="D107" s="47">
        <f t="shared" si="24"/>
        <v>847862.81586036959</v>
      </c>
      <c r="E107" s="41">
        <f t="shared" si="27"/>
        <v>-111319.57479019703</v>
      </c>
      <c r="F107" s="140">
        <f t="shared" si="8"/>
        <v>-950501.0921250009</v>
      </c>
      <c r="G107" s="47">
        <f t="shared" si="9"/>
        <v>-102638.27626463135</v>
      </c>
      <c r="H107" s="52">
        <f t="shared" si="10"/>
        <v>111319.57479019703</v>
      </c>
      <c r="I107" s="505">
        <f t="shared" si="28"/>
        <v>1237.1815512717042</v>
      </c>
      <c r="J107" s="47">
        <f t="shared" si="17"/>
        <v>336753.66921348596</v>
      </c>
      <c r="K107" s="47">
        <f t="shared" si="18"/>
        <v>-139849.17557818163</v>
      </c>
    </row>
    <row r="108" spans="1:11">
      <c r="A108" s="137">
        <v>42613</v>
      </c>
      <c r="B108" s="3">
        <f t="shared" si="12"/>
        <v>1655.4560687843766</v>
      </c>
      <c r="C108" s="47">
        <f t="shared" si="23"/>
        <v>104293.73233341573</v>
      </c>
      <c r="D108" s="47">
        <f t="shared" si="24"/>
        <v>846207.35979158513</v>
      </c>
      <c r="E108" s="41">
        <f t="shared" si="27"/>
        <v>-111478.42453252086</v>
      </c>
      <c r="F108" s="140">
        <f t="shared" si="8"/>
        <v>-950501.0921250009</v>
      </c>
      <c r="G108" s="47">
        <f t="shared" si="9"/>
        <v>-104293.73233341573</v>
      </c>
      <c r="H108" s="52">
        <f t="shared" si="10"/>
        <v>111478.42453252086</v>
      </c>
      <c r="I108" s="505">
        <f t="shared" si="28"/>
        <v>1237.1815512717042</v>
      </c>
      <c r="J108" s="47">
        <f t="shared" si="17"/>
        <v>337990.85076475766</v>
      </c>
      <c r="K108" s="47">
        <f t="shared" si="18"/>
        <v>-138611.99402690993</v>
      </c>
    </row>
    <row r="109" spans="1:11">
      <c r="A109" s="137">
        <v>42643</v>
      </c>
      <c r="B109" s="3">
        <f t="shared" si="12"/>
        <v>1655.4560687843766</v>
      </c>
      <c r="C109" s="47">
        <f t="shared" si="23"/>
        <v>105949.1884022001</v>
      </c>
      <c r="D109" s="47">
        <f t="shared" si="24"/>
        <v>844551.90372280078</v>
      </c>
      <c r="E109" s="41">
        <f t="shared" si="27"/>
        <v>-111637.27427484478</v>
      </c>
      <c r="F109" s="140">
        <f t="shared" si="8"/>
        <v>-950501.0921250009</v>
      </c>
      <c r="G109" s="47">
        <f t="shared" si="9"/>
        <v>-105949.1884022001</v>
      </c>
      <c r="H109" s="52">
        <f t="shared" si="10"/>
        <v>111637.27427484478</v>
      </c>
      <c r="I109" s="505">
        <f t="shared" si="28"/>
        <v>1237.1815512717042</v>
      </c>
      <c r="J109" s="47">
        <f t="shared" si="17"/>
        <v>339228.03231602936</v>
      </c>
      <c r="K109" s="47">
        <f t="shared" si="18"/>
        <v>-137374.81247563823</v>
      </c>
    </row>
    <row r="110" spans="1:11">
      <c r="A110" s="137">
        <v>42674</v>
      </c>
      <c r="B110" s="3">
        <f t="shared" si="12"/>
        <v>1655.4560687843766</v>
      </c>
      <c r="C110" s="47">
        <f t="shared" si="23"/>
        <v>107604.64447098448</v>
      </c>
      <c r="D110" s="47">
        <f t="shared" si="24"/>
        <v>842896.44765401643</v>
      </c>
      <c r="E110" s="41">
        <f t="shared" si="27"/>
        <v>-111796.12401716865</v>
      </c>
      <c r="F110" s="140">
        <f t="shared" si="8"/>
        <v>-950501.0921250009</v>
      </c>
      <c r="G110" s="47">
        <f t="shared" si="9"/>
        <v>-107604.64447098448</v>
      </c>
      <c r="H110" s="52">
        <f t="shared" si="10"/>
        <v>111796.12401716865</v>
      </c>
      <c r="I110" s="505">
        <f t="shared" si="28"/>
        <v>1237.1815512717042</v>
      </c>
      <c r="J110" s="47">
        <f t="shared" si="17"/>
        <v>340465.21386730106</v>
      </c>
      <c r="K110" s="47">
        <f t="shared" si="18"/>
        <v>-136137.63092436653</v>
      </c>
    </row>
    <row r="111" spans="1:11">
      <c r="A111" s="137">
        <v>42704</v>
      </c>
      <c r="B111" s="3">
        <f>$B$42*$B$43/12</f>
        <v>1655.4560687843766</v>
      </c>
      <c r="C111" s="47">
        <f t="shared" si="23"/>
        <v>109260.10053976886</v>
      </c>
      <c r="D111" s="47">
        <f t="shared" si="24"/>
        <v>841240.99158523208</v>
      </c>
      <c r="E111" s="41">
        <f t="shared" si="27"/>
        <v>-111954.97375949252</v>
      </c>
      <c r="F111" s="140">
        <f>-$B$42</f>
        <v>-950501.0921250009</v>
      </c>
      <c r="G111" s="47">
        <f t="shared" ref="G111:G147" si="29">-C111</f>
        <v>-109260.10053976886</v>
      </c>
      <c r="H111" s="52">
        <f t="shared" ref="H111:H147" si="30">-E111</f>
        <v>111954.97375949252</v>
      </c>
      <c r="I111" s="505">
        <f t="shared" si="28"/>
        <v>1237.1815512717042</v>
      </c>
      <c r="J111" s="47">
        <f t="shared" si="17"/>
        <v>341702.39541857276</v>
      </c>
      <c r="K111" s="47">
        <f t="shared" si="18"/>
        <v>-134900.44937309483</v>
      </c>
    </row>
    <row r="112" spans="1:11">
      <c r="A112" s="137">
        <v>42735</v>
      </c>
      <c r="B112" s="3">
        <f>$B$42*$B$43/12</f>
        <v>1655.4560687843766</v>
      </c>
      <c r="C112" s="47">
        <f t="shared" si="23"/>
        <v>110915.55660855323</v>
      </c>
      <c r="D112" s="47">
        <f t="shared" si="24"/>
        <v>839585.53551644762</v>
      </c>
      <c r="E112" s="41">
        <f t="shared" si="27"/>
        <v>-112113.82350181638</v>
      </c>
      <c r="F112" s="140">
        <f>-$B$42</f>
        <v>-950501.0921250009</v>
      </c>
      <c r="G112" s="47">
        <f t="shared" si="29"/>
        <v>-110915.55660855323</v>
      </c>
      <c r="H112" s="52">
        <f t="shared" si="30"/>
        <v>112113.82350181638</v>
      </c>
      <c r="I112" s="505">
        <f t="shared" si="28"/>
        <v>1237.1815512717042</v>
      </c>
      <c r="J112" s="47">
        <f t="shared" si="17"/>
        <v>342939.57696984446</v>
      </c>
      <c r="K112" s="47">
        <f t="shared" si="18"/>
        <v>-133663.26782182313</v>
      </c>
    </row>
    <row r="113" spans="1:11">
      <c r="A113" s="137">
        <v>42766</v>
      </c>
      <c r="B113" s="3">
        <f t="shared" ref="B113:B122" si="31">$B$42*$B$43/12</f>
        <v>1655.4560687843766</v>
      </c>
      <c r="C113" s="47">
        <f t="shared" si="23"/>
        <v>112571.01267733761</v>
      </c>
      <c r="D113" s="47">
        <f t="shared" si="24"/>
        <v>837930.07944766327</v>
      </c>
      <c r="E113" s="41">
        <f>-(D113*$B$38/(+$B$38+$B$39)+K113)*0.388</f>
        <v>-111614.23807351083</v>
      </c>
      <c r="F113" s="140">
        <f t="shared" ref="F113:F122" si="32">-$B$42</f>
        <v>-950501.0921250009</v>
      </c>
      <c r="G113" s="47">
        <f t="shared" si="29"/>
        <v>-112571.01267733761</v>
      </c>
      <c r="H113" s="52">
        <f t="shared" si="30"/>
        <v>111614.23807351083</v>
      </c>
      <c r="I113" s="505">
        <f>+$B$40*0.0295/12</f>
        <v>1171.6486601128497</v>
      </c>
      <c r="J113" s="47">
        <f t="shared" si="17"/>
        <v>344111.22562995733</v>
      </c>
      <c r="K113" s="47">
        <f t="shared" si="18"/>
        <v>-132491.61916171029</v>
      </c>
    </row>
    <row r="114" spans="1:11">
      <c r="A114" s="137">
        <v>42794</v>
      </c>
      <c r="B114" s="3">
        <f t="shared" si="31"/>
        <v>1655.4560687843766</v>
      </c>
      <c r="C114" s="47">
        <f t="shared" si="23"/>
        <v>114226.46874612199</v>
      </c>
      <c r="D114" s="47">
        <f t="shared" si="24"/>
        <v>836274.62337887892</v>
      </c>
      <c r="E114" s="41">
        <f t="shared" ref="E114:E124" si="33">-(D114*$B$38/(+$B$38+$B$39)+K114)*0.388</f>
        <v>-111746.76543788587</v>
      </c>
      <c r="F114" s="140">
        <f t="shared" si="32"/>
        <v>-950501.0921250009</v>
      </c>
      <c r="G114" s="47">
        <f t="shared" si="29"/>
        <v>-114226.46874612199</v>
      </c>
      <c r="H114" s="52">
        <f t="shared" si="30"/>
        <v>111746.76543788587</v>
      </c>
      <c r="I114" s="505">
        <f t="shared" ref="I114:I136" si="34">+$B$40*0.0295/12</f>
        <v>1171.6486601128497</v>
      </c>
      <c r="J114" s="47">
        <f t="shared" si="17"/>
        <v>345282.87429007021</v>
      </c>
      <c r="K114" s="47">
        <f t="shared" si="18"/>
        <v>-131319.97050159745</v>
      </c>
    </row>
    <row r="115" spans="1:11">
      <c r="A115" s="137">
        <v>42825</v>
      </c>
      <c r="B115" s="3">
        <f t="shared" si="31"/>
        <v>1655.4560687843766</v>
      </c>
      <c r="C115" s="47">
        <f t="shared" si="23"/>
        <v>115881.92481490636</v>
      </c>
      <c r="D115" s="47">
        <f t="shared" si="24"/>
        <v>834619.16731009458</v>
      </c>
      <c r="E115" s="41">
        <f t="shared" si="33"/>
        <v>-111879.29280226096</v>
      </c>
      <c r="F115" s="140">
        <f t="shared" si="32"/>
        <v>-950501.0921250009</v>
      </c>
      <c r="G115" s="47">
        <f t="shared" si="29"/>
        <v>-115881.92481490636</v>
      </c>
      <c r="H115" s="52">
        <f t="shared" si="30"/>
        <v>111879.29280226096</v>
      </c>
      <c r="I115" s="505">
        <f t="shared" si="34"/>
        <v>1171.6486601128497</v>
      </c>
      <c r="J115" s="47">
        <f t="shared" si="17"/>
        <v>346454.52295018308</v>
      </c>
      <c r="K115" s="47">
        <f t="shared" si="18"/>
        <v>-130148.32184148459</v>
      </c>
    </row>
    <row r="116" spans="1:11">
      <c r="A116" s="137">
        <v>42855</v>
      </c>
      <c r="B116" s="3">
        <f t="shared" si="31"/>
        <v>1655.4560687843766</v>
      </c>
      <c r="C116" s="47">
        <f t="shared" si="23"/>
        <v>117537.38088369074</v>
      </c>
      <c r="D116" s="47">
        <f t="shared" si="24"/>
        <v>832963.71124131011</v>
      </c>
      <c r="E116" s="41">
        <f t="shared" si="33"/>
        <v>-112011.82016663603</v>
      </c>
      <c r="F116" s="140">
        <f t="shared" si="32"/>
        <v>-950501.0921250009</v>
      </c>
      <c r="G116" s="47">
        <f t="shared" si="29"/>
        <v>-117537.38088369074</v>
      </c>
      <c r="H116" s="52">
        <f t="shared" si="30"/>
        <v>112011.82016663603</v>
      </c>
      <c r="I116" s="505">
        <f t="shared" si="34"/>
        <v>1171.6486601128497</v>
      </c>
      <c r="J116" s="47">
        <f t="shared" si="17"/>
        <v>347626.17161029595</v>
      </c>
      <c r="K116" s="47">
        <f t="shared" si="18"/>
        <v>-128976.67318137173</v>
      </c>
    </row>
    <row r="117" spans="1:11">
      <c r="A117" s="137">
        <v>42886</v>
      </c>
      <c r="B117" s="3">
        <f t="shared" si="31"/>
        <v>1655.4560687843766</v>
      </c>
      <c r="C117" s="47">
        <f t="shared" si="23"/>
        <v>119192.83695247512</v>
      </c>
      <c r="D117" s="47">
        <f t="shared" si="24"/>
        <v>831308.25517252577</v>
      </c>
      <c r="E117" s="41">
        <f t="shared" si="33"/>
        <v>-112144.34753101107</v>
      </c>
      <c r="F117" s="140">
        <f t="shared" si="32"/>
        <v>-950501.0921250009</v>
      </c>
      <c r="G117" s="47">
        <f t="shared" si="29"/>
        <v>-119192.83695247512</v>
      </c>
      <c r="H117" s="52">
        <f t="shared" si="30"/>
        <v>112144.34753101107</v>
      </c>
      <c r="I117" s="505">
        <f t="shared" si="34"/>
        <v>1171.6486601128497</v>
      </c>
      <c r="J117" s="47">
        <f t="shared" si="17"/>
        <v>348797.82027040882</v>
      </c>
      <c r="K117" s="47">
        <f t="shared" si="18"/>
        <v>-127805.02452125888</v>
      </c>
    </row>
    <row r="118" spans="1:11">
      <c r="A118" s="137">
        <v>42916</v>
      </c>
      <c r="B118" s="3">
        <f t="shared" si="31"/>
        <v>1655.4560687843766</v>
      </c>
      <c r="C118" s="47">
        <f t="shared" si="23"/>
        <v>120848.29302125949</v>
      </c>
      <c r="D118" s="47">
        <f t="shared" si="24"/>
        <v>829652.79910374142</v>
      </c>
      <c r="E118" s="41">
        <f t="shared" si="33"/>
        <v>-112276.87489538618</v>
      </c>
      <c r="F118" s="140">
        <f t="shared" si="32"/>
        <v>-950501.0921250009</v>
      </c>
      <c r="G118" s="47">
        <f t="shared" si="29"/>
        <v>-120848.29302125949</v>
      </c>
      <c r="H118" s="52">
        <f t="shared" si="30"/>
        <v>112276.87489538618</v>
      </c>
      <c r="I118" s="505">
        <f>+$B$40*0.0295/12</f>
        <v>1171.6486601128497</v>
      </c>
      <c r="J118" s="47">
        <f t="shared" si="17"/>
        <v>349969.46893052169</v>
      </c>
      <c r="K118" s="47">
        <f t="shared" si="18"/>
        <v>-126633.37586114602</v>
      </c>
    </row>
    <row r="119" spans="1:11">
      <c r="A119" s="137">
        <v>42947</v>
      </c>
      <c r="B119" s="3">
        <f t="shared" si="31"/>
        <v>1655.4560687843766</v>
      </c>
      <c r="C119" s="47">
        <f t="shared" si="23"/>
        <v>122503.74909004387</v>
      </c>
      <c r="D119" s="47">
        <f t="shared" si="24"/>
        <v>827997.34303495707</v>
      </c>
      <c r="E119" s="41">
        <f t="shared" si="33"/>
        <v>-112409.40225976123</v>
      </c>
      <c r="F119" s="140">
        <f t="shared" si="32"/>
        <v>-950501.0921250009</v>
      </c>
      <c r="G119" s="47">
        <f t="shared" si="29"/>
        <v>-122503.74909004387</v>
      </c>
      <c r="H119" s="52">
        <f t="shared" si="30"/>
        <v>112409.40225976123</v>
      </c>
      <c r="I119" s="505">
        <f t="shared" si="34"/>
        <v>1171.6486601128497</v>
      </c>
      <c r="J119" s="47">
        <f t="shared" si="17"/>
        <v>351141.11759063456</v>
      </c>
      <c r="K119" s="47">
        <f t="shared" si="18"/>
        <v>-125461.72720103317</v>
      </c>
    </row>
    <row r="120" spans="1:11">
      <c r="A120" s="137">
        <v>42978</v>
      </c>
      <c r="B120" s="3">
        <f t="shared" si="31"/>
        <v>1655.4560687843766</v>
      </c>
      <c r="C120" s="47">
        <f t="shared" si="23"/>
        <v>124159.20515882825</v>
      </c>
      <c r="D120" s="47">
        <f t="shared" si="24"/>
        <v>826341.88696617261</v>
      </c>
      <c r="E120" s="41">
        <f t="shared" si="33"/>
        <v>-112541.92962413628</v>
      </c>
      <c r="F120" s="140">
        <f t="shared" si="32"/>
        <v>-950501.0921250009</v>
      </c>
      <c r="G120" s="47">
        <f t="shared" si="29"/>
        <v>-124159.20515882825</v>
      </c>
      <c r="H120" s="52">
        <f t="shared" si="30"/>
        <v>112541.92962413628</v>
      </c>
      <c r="I120" s="505">
        <f t="shared" si="34"/>
        <v>1171.6486601128497</v>
      </c>
      <c r="J120" s="47">
        <f t="shared" si="17"/>
        <v>352312.76625074743</v>
      </c>
      <c r="K120" s="47">
        <f t="shared" si="18"/>
        <v>-124290.07854092031</v>
      </c>
    </row>
    <row r="121" spans="1:11">
      <c r="A121" s="137">
        <v>43008</v>
      </c>
      <c r="B121" s="3">
        <f t="shared" si="31"/>
        <v>1655.4560687843766</v>
      </c>
      <c r="C121" s="47">
        <f t="shared" si="23"/>
        <v>125814.66122761263</v>
      </c>
      <c r="D121" s="47">
        <f t="shared" si="24"/>
        <v>824686.43089738826</v>
      </c>
      <c r="E121" s="41">
        <f t="shared" si="33"/>
        <v>-112674.45698851137</v>
      </c>
      <c r="F121" s="140">
        <f t="shared" si="32"/>
        <v>-950501.0921250009</v>
      </c>
      <c r="G121" s="47">
        <f t="shared" si="29"/>
        <v>-125814.66122761263</v>
      </c>
      <c r="H121" s="52">
        <f t="shared" si="30"/>
        <v>112674.45698851137</v>
      </c>
      <c r="I121" s="505">
        <f t="shared" si="34"/>
        <v>1171.6486601128497</v>
      </c>
      <c r="J121" s="47">
        <f t="shared" si="17"/>
        <v>353484.4149108603</v>
      </c>
      <c r="K121" s="47">
        <f t="shared" si="18"/>
        <v>-123118.42988080745</v>
      </c>
    </row>
    <row r="122" spans="1:11">
      <c r="A122" s="137">
        <v>43039</v>
      </c>
      <c r="B122" s="3">
        <f t="shared" si="31"/>
        <v>1655.4560687843766</v>
      </c>
      <c r="C122" s="47">
        <f t="shared" si="23"/>
        <v>127470.117296397</v>
      </c>
      <c r="D122" s="47">
        <f t="shared" si="24"/>
        <v>823030.97482860391</v>
      </c>
      <c r="E122" s="41">
        <f t="shared" si="33"/>
        <v>-112806.98435288643</v>
      </c>
      <c r="F122" s="140">
        <f t="shared" si="32"/>
        <v>-950501.0921250009</v>
      </c>
      <c r="G122" s="47">
        <f t="shared" si="29"/>
        <v>-127470.117296397</v>
      </c>
      <c r="H122" s="52">
        <f t="shared" si="30"/>
        <v>112806.98435288643</v>
      </c>
      <c r="I122" s="505">
        <f t="shared" si="34"/>
        <v>1171.6486601128497</v>
      </c>
      <c r="J122" s="47">
        <f t="shared" si="17"/>
        <v>354656.06357097317</v>
      </c>
      <c r="K122" s="47">
        <f t="shared" si="18"/>
        <v>-121946.7812206946</v>
      </c>
    </row>
    <row r="123" spans="1:11">
      <c r="A123" s="137">
        <v>43069</v>
      </c>
      <c r="B123" s="3">
        <f>$B$42*$B$43/12</f>
        <v>1655.4560687843766</v>
      </c>
      <c r="C123" s="47">
        <f t="shared" si="23"/>
        <v>129125.57336518138</v>
      </c>
      <c r="D123" s="47">
        <f t="shared" si="24"/>
        <v>821375.51875981956</v>
      </c>
      <c r="E123" s="41">
        <f t="shared" si="33"/>
        <v>-112939.51171726154</v>
      </c>
      <c r="F123" s="140">
        <f>-$B$42</f>
        <v>-950501.0921250009</v>
      </c>
      <c r="G123" s="47">
        <f t="shared" si="29"/>
        <v>-129125.57336518138</v>
      </c>
      <c r="H123" s="52">
        <f t="shared" si="30"/>
        <v>112939.51171726154</v>
      </c>
      <c r="I123" s="505">
        <f t="shared" si="34"/>
        <v>1171.6486601128497</v>
      </c>
      <c r="J123" s="47">
        <f t="shared" si="17"/>
        <v>355827.71223108604</v>
      </c>
      <c r="K123" s="47">
        <f t="shared" si="18"/>
        <v>-120775.13256058174</v>
      </c>
    </row>
    <row r="124" spans="1:11">
      <c r="A124" s="137">
        <v>43100</v>
      </c>
      <c r="B124" s="3">
        <f>$B$42*$B$43/12</f>
        <v>1655.4560687843766</v>
      </c>
      <c r="C124" s="47">
        <f t="shared" si="23"/>
        <v>130781.02943396576</v>
      </c>
      <c r="D124" s="47">
        <f t="shared" si="24"/>
        <v>819720.0626910351</v>
      </c>
      <c r="E124" s="41">
        <f t="shared" si="33"/>
        <v>-113072.03908163658</v>
      </c>
      <c r="F124" s="140">
        <f>-$B$42</f>
        <v>-950501.0921250009</v>
      </c>
      <c r="G124" s="47">
        <f t="shared" si="29"/>
        <v>-130781.02943396576</v>
      </c>
      <c r="H124" s="52">
        <f t="shared" si="30"/>
        <v>113072.03908163658</v>
      </c>
      <c r="I124" s="505">
        <f t="shared" si="34"/>
        <v>1171.6486601128497</v>
      </c>
      <c r="J124" s="47">
        <f t="shared" si="17"/>
        <v>356999.36089119891</v>
      </c>
      <c r="K124" s="47">
        <f t="shared" si="18"/>
        <v>-119603.48390046888</v>
      </c>
    </row>
    <row r="125" spans="1:11">
      <c r="A125" s="137">
        <v>43131</v>
      </c>
      <c r="B125" s="3">
        <f t="shared" ref="B125:B147" si="35">$B$42*$B$43/12</f>
        <v>1655.4560687843766</v>
      </c>
      <c r="C125" s="47">
        <f t="shared" si="23"/>
        <v>132436.48550275012</v>
      </c>
      <c r="D125" s="47">
        <f t="shared" si="24"/>
        <v>818064.60662225075</v>
      </c>
      <c r="E125" s="41">
        <f t="shared" ref="E125:E147" si="36">-(D125*$B$38/(+$B$38+$B$39)+K125)*0.254</f>
        <v>-74108.144013626181</v>
      </c>
      <c r="F125" s="140">
        <f t="shared" ref="F125:F188" si="37">-$B$42</f>
        <v>-950501.0921250009</v>
      </c>
      <c r="G125" s="47">
        <f t="shared" si="29"/>
        <v>-132436.48550275012</v>
      </c>
      <c r="H125" s="52">
        <f t="shared" si="30"/>
        <v>74108.144013626181</v>
      </c>
      <c r="I125" s="505">
        <f t="shared" si="34"/>
        <v>1171.6486601128497</v>
      </c>
      <c r="J125" s="47">
        <f t="shared" si="17"/>
        <v>358171.00955131178</v>
      </c>
      <c r="K125" s="47">
        <f t="shared" si="18"/>
        <v>-118431.83524035603</v>
      </c>
    </row>
    <row r="126" spans="1:11">
      <c r="A126" s="137">
        <v>43159</v>
      </c>
      <c r="B126" s="3">
        <f t="shared" si="35"/>
        <v>1655.4560687843766</v>
      </c>
      <c r="C126" s="47">
        <f t="shared" si="23"/>
        <v>134091.94157153449</v>
      </c>
      <c r="D126" s="47">
        <f t="shared" si="24"/>
        <v>816409.1505534664</v>
      </c>
      <c r="E126" s="41">
        <f t="shared" si="36"/>
        <v>-74194.901618139775</v>
      </c>
      <c r="F126" s="140">
        <f t="shared" si="37"/>
        <v>-950501.0921250009</v>
      </c>
      <c r="G126" s="47">
        <f t="shared" si="29"/>
        <v>-134091.94157153449</v>
      </c>
      <c r="H126" s="52">
        <f t="shared" si="30"/>
        <v>74194.901618139775</v>
      </c>
      <c r="I126" s="505">
        <f t="shared" si="34"/>
        <v>1171.6486601128497</v>
      </c>
      <c r="J126" s="47">
        <f t="shared" si="17"/>
        <v>359342.65821142466</v>
      </c>
      <c r="K126" s="47">
        <f t="shared" si="18"/>
        <v>-117260.18658024317</v>
      </c>
    </row>
    <row r="127" spans="1:11">
      <c r="A127" s="137">
        <v>43190</v>
      </c>
      <c r="B127" s="3">
        <f t="shared" si="35"/>
        <v>1655.4560687843766</v>
      </c>
      <c r="C127" s="47">
        <f t="shared" si="23"/>
        <v>135747.39764031887</v>
      </c>
      <c r="D127" s="47">
        <f t="shared" si="24"/>
        <v>814753.69448468206</v>
      </c>
      <c r="E127" s="41">
        <f t="shared" si="36"/>
        <v>-74281.659222653339</v>
      </c>
      <c r="F127" s="140">
        <f t="shared" si="37"/>
        <v>-950501.0921250009</v>
      </c>
      <c r="G127" s="47">
        <f t="shared" si="29"/>
        <v>-135747.39764031887</v>
      </c>
      <c r="H127" s="52">
        <f t="shared" si="30"/>
        <v>74281.659222653339</v>
      </c>
      <c r="I127" s="505">
        <f t="shared" si="34"/>
        <v>1171.6486601128497</v>
      </c>
      <c r="J127" s="47">
        <f t="shared" si="17"/>
        <v>360514.30687153753</v>
      </c>
      <c r="K127" s="47">
        <f t="shared" si="18"/>
        <v>-116088.53792013031</v>
      </c>
    </row>
    <row r="128" spans="1:11">
      <c r="A128" s="137">
        <v>43220</v>
      </c>
      <c r="B128" s="3">
        <f t="shared" si="35"/>
        <v>1655.4560687843766</v>
      </c>
      <c r="C128" s="47">
        <f t="shared" si="23"/>
        <v>137402.85370910325</v>
      </c>
      <c r="D128" s="47">
        <f t="shared" si="24"/>
        <v>813098.23841589759</v>
      </c>
      <c r="E128" s="41">
        <f t="shared" si="36"/>
        <v>-74368.416827166904</v>
      </c>
      <c r="F128" s="140">
        <f t="shared" si="37"/>
        <v>-950501.0921250009</v>
      </c>
      <c r="G128" s="47">
        <f t="shared" si="29"/>
        <v>-137402.85370910325</v>
      </c>
      <c r="H128" s="52">
        <f t="shared" si="30"/>
        <v>74368.416827166904</v>
      </c>
      <c r="I128" s="505">
        <f t="shared" si="34"/>
        <v>1171.6486601128497</v>
      </c>
      <c r="J128" s="47">
        <f t="shared" si="17"/>
        <v>361685.9555316504</v>
      </c>
      <c r="K128" s="47">
        <f t="shared" si="18"/>
        <v>-114916.88926001746</v>
      </c>
    </row>
    <row r="129" spans="1:11">
      <c r="A129" s="137">
        <v>43251</v>
      </c>
      <c r="B129" s="3">
        <f t="shared" si="35"/>
        <v>1655.4560687843766</v>
      </c>
      <c r="C129" s="47">
        <f t="shared" si="23"/>
        <v>139058.30977788763</v>
      </c>
      <c r="D129" s="47">
        <f t="shared" si="24"/>
        <v>811442.78234711324</v>
      </c>
      <c r="E129" s="41">
        <f t="shared" si="36"/>
        <v>-74455.174431680498</v>
      </c>
      <c r="F129" s="140">
        <f t="shared" si="37"/>
        <v>-950501.0921250009</v>
      </c>
      <c r="G129" s="47">
        <f t="shared" si="29"/>
        <v>-139058.30977788763</v>
      </c>
      <c r="H129" s="52">
        <f t="shared" si="30"/>
        <v>74455.174431680498</v>
      </c>
      <c r="I129" s="505">
        <f t="shared" si="34"/>
        <v>1171.6486601128497</v>
      </c>
      <c r="J129" s="47">
        <f t="shared" si="17"/>
        <v>362857.60419176327</v>
      </c>
      <c r="K129" s="47">
        <f t="shared" si="18"/>
        <v>-113745.2405999046</v>
      </c>
    </row>
    <row r="130" spans="1:11">
      <c r="A130" s="137">
        <v>43281</v>
      </c>
      <c r="B130" s="3">
        <f t="shared" si="35"/>
        <v>1655.4560687843766</v>
      </c>
      <c r="C130" s="47">
        <f t="shared" si="23"/>
        <v>140713.765846672</v>
      </c>
      <c r="D130" s="47">
        <f t="shared" si="24"/>
        <v>809787.3262783289</v>
      </c>
      <c r="E130" s="41">
        <f t="shared" si="36"/>
        <v>-74541.932036194077</v>
      </c>
      <c r="F130" s="140">
        <f t="shared" si="37"/>
        <v>-950501.0921250009</v>
      </c>
      <c r="G130" s="47">
        <f t="shared" si="29"/>
        <v>-140713.765846672</v>
      </c>
      <c r="H130" s="52">
        <f t="shared" si="30"/>
        <v>74541.932036194077</v>
      </c>
      <c r="I130" s="505">
        <f t="shared" si="34"/>
        <v>1171.6486601128497</v>
      </c>
      <c r="J130" s="47">
        <f t="shared" ref="J130:J147" si="38">+I130+J129</f>
        <v>364029.25285187614</v>
      </c>
      <c r="K130" s="47">
        <f t="shared" ref="K130:K147" si="39">+K129+I130</f>
        <v>-112573.59193979175</v>
      </c>
    </row>
    <row r="131" spans="1:11">
      <c r="A131" s="137">
        <v>43312</v>
      </c>
      <c r="B131" s="3">
        <f t="shared" si="35"/>
        <v>1655.4560687843766</v>
      </c>
      <c r="C131" s="47">
        <f t="shared" si="23"/>
        <v>142369.22191545638</v>
      </c>
      <c r="D131" s="47">
        <f t="shared" si="24"/>
        <v>808131.87020954455</v>
      </c>
      <c r="E131" s="41">
        <f t="shared" si="36"/>
        <v>-74628.689640707671</v>
      </c>
      <c r="F131" s="140">
        <f t="shared" si="37"/>
        <v>-950501.0921250009</v>
      </c>
      <c r="G131" s="47">
        <f t="shared" si="29"/>
        <v>-142369.22191545638</v>
      </c>
      <c r="H131" s="52">
        <f t="shared" si="30"/>
        <v>74628.689640707671</v>
      </c>
      <c r="I131" s="505">
        <f t="shared" si="34"/>
        <v>1171.6486601128497</v>
      </c>
      <c r="J131" s="47">
        <f t="shared" si="38"/>
        <v>365200.90151198901</v>
      </c>
      <c r="K131" s="47">
        <f t="shared" si="39"/>
        <v>-111401.94327967889</v>
      </c>
    </row>
    <row r="132" spans="1:11">
      <c r="A132" s="137">
        <v>43343</v>
      </c>
      <c r="B132" s="3">
        <f t="shared" si="35"/>
        <v>1655.4560687843766</v>
      </c>
      <c r="C132" s="47">
        <f t="shared" si="23"/>
        <v>144024.67798424076</v>
      </c>
      <c r="D132" s="47">
        <f t="shared" si="24"/>
        <v>806476.4141407602</v>
      </c>
      <c r="E132" s="41">
        <f t="shared" si="36"/>
        <v>-74715.44724522125</v>
      </c>
      <c r="F132" s="140">
        <f t="shared" si="37"/>
        <v>-950501.0921250009</v>
      </c>
      <c r="G132" s="47">
        <f t="shared" si="29"/>
        <v>-144024.67798424076</v>
      </c>
      <c r="H132" s="52">
        <f t="shared" si="30"/>
        <v>74715.44724522125</v>
      </c>
      <c r="I132" s="505">
        <f t="shared" si="34"/>
        <v>1171.6486601128497</v>
      </c>
      <c r="J132" s="47">
        <f t="shared" si="38"/>
        <v>366372.55017210188</v>
      </c>
      <c r="K132" s="47">
        <f t="shared" si="39"/>
        <v>-110230.29461956603</v>
      </c>
    </row>
    <row r="133" spans="1:11">
      <c r="A133" s="137">
        <v>43373</v>
      </c>
      <c r="B133" s="3">
        <f t="shared" si="35"/>
        <v>1655.4560687843766</v>
      </c>
      <c r="C133" s="47">
        <f t="shared" si="23"/>
        <v>145680.13405302513</v>
      </c>
      <c r="D133" s="47">
        <f t="shared" si="24"/>
        <v>804820.95807197574</v>
      </c>
      <c r="E133" s="41">
        <f t="shared" si="36"/>
        <v>-74802.204849734801</v>
      </c>
      <c r="F133" s="140">
        <f t="shared" si="37"/>
        <v>-950501.0921250009</v>
      </c>
      <c r="G133" s="47">
        <f t="shared" si="29"/>
        <v>-145680.13405302513</v>
      </c>
      <c r="H133" s="52">
        <f t="shared" si="30"/>
        <v>74802.204849734801</v>
      </c>
      <c r="I133" s="505">
        <f t="shared" si="34"/>
        <v>1171.6486601128497</v>
      </c>
      <c r="J133" s="47">
        <f t="shared" si="38"/>
        <v>367544.19883221475</v>
      </c>
      <c r="K133" s="47">
        <f t="shared" si="39"/>
        <v>-109058.64595945318</v>
      </c>
    </row>
    <row r="134" spans="1:11">
      <c r="A134" s="137">
        <v>43404</v>
      </c>
      <c r="B134" s="3">
        <f t="shared" si="35"/>
        <v>1655.4560687843766</v>
      </c>
      <c r="C134" s="47">
        <f t="shared" si="23"/>
        <v>147335.59012180951</v>
      </c>
      <c r="D134" s="47">
        <f t="shared" si="24"/>
        <v>803165.50200319139</v>
      </c>
      <c r="E134" s="41">
        <f t="shared" si="36"/>
        <v>-74888.962454248394</v>
      </c>
      <c r="F134" s="140">
        <f t="shared" si="37"/>
        <v>-950501.0921250009</v>
      </c>
      <c r="G134" s="47">
        <f t="shared" si="29"/>
        <v>-147335.59012180951</v>
      </c>
      <c r="H134" s="52">
        <f t="shared" si="30"/>
        <v>74888.962454248394</v>
      </c>
      <c r="I134" s="505">
        <f t="shared" si="34"/>
        <v>1171.6486601128497</v>
      </c>
      <c r="J134" s="47">
        <f t="shared" si="38"/>
        <v>368715.84749232762</v>
      </c>
      <c r="K134" s="47">
        <f t="shared" si="39"/>
        <v>-107886.99729934032</v>
      </c>
    </row>
    <row r="135" spans="1:11">
      <c r="A135" s="137">
        <v>43434</v>
      </c>
      <c r="B135" s="3">
        <f t="shared" si="35"/>
        <v>1655.4560687843766</v>
      </c>
      <c r="C135" s="47">
        <f t="shared" si="23"/>
        <v>148991.04619059389</v>
      </c>
      <c r="D135" s="47">
        <f t="shared" si="24"/>
        <v>801510.04593440704</v>
      </c>
      <c r="E135" s="41">
        <f t="shared" si="36"/>
        <v>-74975.720058761988</v>
      </c>
      <c r="F135" s="140">
        <f t="shared" si="37"/>
        <v>-950501.0921250009</v>
      </c>
      <c r="G135" s="47">
        <f t="shared" si="29"/>
        <v>-148991.04619059389</v>
      </c>
      <c r="H135" s="52">
        <f t="shared" si="30"/>
        <v>74975.720058761988</v>
      </c>
      <c r="I135" s="505">
        <f t="shared" si="34"/>
        <v>1171.6486601128497</v>
      </c>
      <c r="J135" s="47">
        <f t="shared" si="38"/>
        <v>369887.49615244049</v>
      </c>
      <c r="K135" s="47">
        <f t="shared" si="39"/>
        <v>-106715.34863922746</v>
      </c>
    </row>
    <row r="136" spans="1:11">
      <c r="A136" s="137">
        <v>43465</v>
      </c>
      <c r="B136" s="3">
        <f t="shared" si="35"/>
        <v>1655.4560687843766</v>
      </c>
      <c r="C136" s="47">
        <f t="shared" si="23"/>
        <v>150646.50225937826</v>
      </c>
      <c r="D136" s="47">
        <f t="shared" si="24"/>
        <v>799854.58986562258</v>
      </c>
      <c r="E136" s="41">
        <f t="shared" si="36"/>
        <v>-75062.477663275553</v>
      </c>
      <c r="F136" s="140">
        <f t="shared" si="37"/>
        <v>-950501.0921250009</v>
      </c>
      <c r="G136" s="47">
        <f t="shared" si="29"/>
        <v>-150646.50225937826</v>
      </c>
      <c r="H136" s="52">
        <f t="shared" si="30"/>
        <v>75062.477663275553</v>
      </c>
      <c r="I136" s="505">
        <f t="shared" si="34"/>
        <v>1171.6486601128497</v>
      </c>
      <c r="J136" s="47">
        <f t="shared" si="38"/>
        <v>371059.14481255336</v>
      </c>
      <c r="K136" s="47">
        <f t="shared" si="39"/>
        <v>-105543.69997911461</v>
      </c>
    </row>
    <row r="137" spans="1:11">
      <c r="A137" s="137">
        <v>43496</v>
      </c>
      <c r="B137" s="3">
        <f t="shared" si="35"/>
        <v>1655.4560687843766</v>
      </c>
      <c r="C137" s="47">
        <f t="shared" si="23"/>
        <v>152301.95832816264</v>
      </c>
      <c r="D137" s="47">
        <f t="shared" si="24"/>
        <v>798199.13379683823</v>
      </c>
      <c r="E137" s="41">
        <f t="shared" si="36"/>
        <v>-75149.73967246653</v>
      </c>
      <c r="F137" s="140">
        <f t="shared" si="37"/>
        <v>-950501.0921250009</v>
      </c>
      <c r="G137" s="47">
        <f t="shared" si="29"/>
        <v>-152301.95832816264</v>
      </c>
      <c r="H137" s="52">
        <f t="shared" si="30"/>
        <v>75149.73967246653</v>
      </c>
      <c r="I137" s="505">
        <f t="shared" ref="I137:I200" si="40">+$B$40*0.02955/12</f>
        <v>1173.6345052994818</v>
      </c>
      <c r="J137" s="47">
        <f t="shared" si="38"/>
        <v>372232.77931785287</v>
      </c>
      <c r="K137" s="47">
        <f t="shared" si="39"/>
        <v>-104370.06547381512</v>
      </c>
    </row>
    <row r="138" spans="1:11">
      <c r="A138" s="137">
        <v>43524</v>
      </c>
      <c r="B138" s="3">
        <f t="shared" si="35"/>
        <v>1655.4560687843766</v>
      </c>
      <c r="C138" s="47">
        <f>C137+B138</f>
        <v>153957.41439694702</v>
      </c>
      <c r="D138" s="47">
        <f t="shared" si="24"/>
        <v>796543.67772805388</v>
      </c>
      <c r="E138" s="41">
        <f t="shared" si="36"/>
        <v>-75237.001681657537</v>
      </c>
      <c r="F138" s="140">
        <f t="shared" si="37"/>
        <v>-950501.0921250009</v>
      </c>
      <c r="G138" s="47">
        <f t="shared" si="29"/>
        <v>-153957.41439694702</v>
      </c>
      <c r="H138" s="52">
        <f t="shared" si="30"/>
        <v>75237.001681657537</v>
      </c>
      <c r="I138" s="505">
        <f t="shared" si="40"/>
        <v>1173.6345052994818</v>
      </c>
      <c r="J138" s="47">
        <f>+I138+J137</f>
        <v>373406.41382315237</v>
      </c>
      <c r="K138" s="47">
        <f>+K137+I138</f>
        <v>-103196.43096851563</v>
      </c>
    </row>
    <row r="139" spans="1:11">
      <c r="A139" s="137">
        <v>43555</v>
      </c>
      <c r="B139" s="3">
        <f t="shared" si="35"/>
        <v>1655.4560687843766</v>
      </c>
      <c r="C139" s="47">
        <f t="shared" si="23"/>
        <v>155612.87046573139</v>
      </c>
      <c r="D139" s="47">
        <f t="shared" si="24"/>
        <v>794888.22165926953</v>
      </c>
      <c r="E139" s="41">
        <f t="shared" si="36"/>
        <v>-75324.263690848515</v>
      </c>
      <c r="F139" s="140">
        <f t="shared" si="37"/>
        <v>-950501.0921250009</v>
      </c>
      <c r="G139" s="47">
        <f t="shared" si="29"/>
        <v>-155612.87046573139</v>
      </c>
      <c r="H139" s="52">
        <f t="shared" si="30"/>
        <v>75324.263690848515</v>
      </c>
      <c r="I139" s="505">
        <f t="shared" si="40"/>
        <v>1173.6345052994818</v>
      </c>
      <c r="J139" s="47">
        <f t="shared" si="38"/>
        <v>374580.04832845187</v>
      </c>
      <c r="K139" s="47">
        <f t="shared" si="39"/>
        <v>-102022.79646321615</v>
      </c>
    </row>
    <row r="140" spans="1:11">
      <c r="A140" s="137">
        <v>43585</v>
      </c>
      <c r="B140" s="3">
        <f t="shared" si="35"/>
        <v>1655.4560687843766</v>
      </c>
      <c r="C140" s="47">
        <f t="shared" si="23"/>
        <v>157268.32653451577</v>
      </c>
      <c r="D140" s="47">
        <f t="shared" si="24"/>
        <v>793232.76559048519</v>
      </c>
      <c r="E140" s="41">
        <f t="shared" si="36"/>
        <v>-75411.525700039492</v>
      </c>
      <c r="F140" s="140">
        <f t="shared" si="37"/>
        <v>-950501.0921250009</v>
      </c>
      <c r="G140" s="47">
        <f t="shared" si="29"/>
        <v>-157268.32653451577</v>
      </c>
      <c r="H140" s="52">
        <f t="shared" si="30"/>
        <v>75411.525700039492</v>
      </c>
      <c r="I140" s="505">
        <f t="shared" si="40"/>
        <v>1173.6345052994818</v>
      </c>
      <c r="J140" s="47">
        <f t="shared" si="38"/>
        <v>375753.68283375137</v>
      </c>
      <c r="K140" s="47">
        <f t="shared" si="39"/>
        <v>-100849.16195791666</v>
      </c>
    </row>
    <row r="141" spans="1:11">
      <c r="A141" s="137">
        <v>43616</v>
      </c>
      <c r="B141" s="3">
        <f t="shared" si="35"/>
        <v>1655.4560687843766</v>
      </c>
      <c r="C141" s="47">
        <f t="shared" si="23"/>
        <v>158923.78260330015</v>
      </c>
      <c r="D141" s="47">
        <f t="shared" si="24"/>
        <v>791577.30952170072</v>
      </c>
      <c r="E141" s="41">
        <f t="shared" si="36"/>
        <v>-75498.787709230455</v>
      </c>
      <c r="F141" s="140">
        <f t="shared" si="37"/>
        <v>-950501.0921250009</v>
      </c>
      <c r="G141" s="47">
        <f t="shared" si="29"/>
        <v>-158923.78260330015</v>
      </c>
      <c r="H141" s="52">
        <f t="shared" si="30"/>
        <v>75498.787709230455</v>
      </c>
      <c r="I141" s="505">
        <f t="shared" si="40"/>
        <v>1173.6345052994818</v>
      </c>
      <c r="J141" s="47">
        <f t="shared" si="38"/>
        <v>376927.31733905087</v>
      </c>
      <c r="K141" s="47">
        <f t="shared" si="39"/>
        <v>-99675.527452617171</v>
      </c>
    </row>
    <row r="142" spans="1:11">
      <c r="A142" s="137">
        <v>43646</v>
      </c>
      <c r="B142" s="3">
        <f t="shared" si="35"/>
        <v>1655.4560687843766</v>
      </c>
      <c r="C142" s="47">
        <f t="shared" si="23"/>
        <v>160579.23867208452</v>
      </c>
      <c r="D142" s="47">
        <f t="shared" si="24"/>
        <v>789921.85345291637</v>
      </c>
      <c r="E142" s="41">
        <f t="shared" si="36"/>
        <v>-75586.049718421447</v>
      </c>
      <c r="F142" s="140">
        <f t="shared" si="37"/>
        <v>-950501.0921250009</v>
      </c>
      <c r="G142" s="47">
        <f t="shared" si="29"/>
        <v>-160579.23867208452</v>
      </c>
      <c r="H142" s="52">
        <f t="shared" si="30"/>
        <v>75586.049718421447</v>
      </c>
      <c r="I142" s="505">
        <f t="shared" si="40"/>
        <v>1173.6345052994818</v>
      </c>
      <c r="J142" s="47">
        <f t="shared" si="38"/>
        <v>378100.95184435038</v>
      </c>
      <c r="K142" s="47">
        <f t="shared" si="39"/>
        <v>-98501.892947317683</v>
      </c>
    </row>
    <row r="143" spans="1:11">
      <c r="A143" s="137">
        <v>43677</v>
      </c>
      <c r="B143" s="3">
        <f t="shared" si="35"/>
        <v>1655.4560687843766</v>
      </c>
      <c r="C143" s="47">
        <f t="shared" si="23"/>
        <v>162234.6947408689</v>
      </c>
      <c r="D143" s="47">
        <f t="shared" si="24"/>
        <v>788266.39738413203</v>
      </c>
      <c r="E143" s="41">
        <f t="shared" si="36"/>
        <v>-75673.311727612454</v>
      </c>
      <c r="F143" s="140">
        <f t="shared" si="37"/>
        <v>-950501.0921250009</v>
      </c>
      <c r="G143" s="47">
        <f t="shared" si="29"/>
        <v>-162234.6947408689</v>
      </c>
      <c r="H143" s="52">
        <f t="shared" si="30"/>
        <v>75673.311727612454</v>
      </c>
      <c r="I143" s="505">
        <f t="shared" si="40"/>
        <v>1173.6345052994818</v>
      </c>
      <c r="J143" s="47">
        <f t="shared" si="38"/>
        <v>379274.58634964988</v>
      </c>
      <c r="K143" s="47">
        <f t="shared" si="39"/>
        <v>-97328.258442018196</v>
      </c>
    </row>
    <row r="144" spans="1:11">
      <c r="A144" s="137">
        <v>43708</v>
      </c>
      <c r="B144" s="3">
        <f t="shared" si="35"/>
        <v>1655.4560687843766</v>
      </c>
      <c r="C144" s="47">
        <f t="shared" si="23"/>
        <v>163890.15080965328</v>
      </c>
      <c r="D144" s="47">
        <f t="shared" si="24"/>
        <v>786610.94131534756</v>
      </c>
      <c r="E144" s="41">
        <f t="shared" si="36"/>
        <v>-75760.573736803402</v>
      </c>
      <c r="F144" s="140">
        <f t="shared" si="37"/>
        <v>-950501.0921250009</v>
      </c>
      <c r="G144" s="47">
        <f t="shared" si="29"/>
        <v>-163890.15080965328</v>
      </c>
      <c r="H144" s="52">
        <f t="shared" si="30"/>
        <v>75760.573736803402</v>
      </c>
      <c r="I144" s="505">
        <f>+$B$40*0.02955/12</f>
        <v>1173.6345052994818</v>
      </c>
      <c r="J144" s="47">
        <f t="shared" si="38"/>
        <v>380448.22085494938</v>
      </c>
      <c r="K144" s="47">
        <f t="shared" si="39"/>
        <v>-96154.623936718708</v>
      </c>
    </row>
    <row r="145" spans="1:11">
      <c r="A145" s="137">
        <v>43738</v>
      </c>
      <c r="B145" s="3">
        <f t="shared" si="35"/>
        <v>1655.4560687843766</v>
      </c>
      <c r="C145" s="47">
        <f t="shared" si="23"/>
        <v>165545.60687843765</v>
      </c>
      <c r="D145" s="47">
        <f t="shared" si="24"/>
        <v>784955.48524656321</v>
      </c>
      <c r="E145" s="41">
        <f t="shared" si="36"/>
        <v>-75847.835745994395</v>
      </c>
      <c r="F145" s="140">
        <f t="shared" si="37"/>
        <v>-950501.0921250009</v>
      </c>
      <c r="G145" s="47">
        <f t="shared" si="29"/>
        <v>-165545.60687843765</v>
      </c>
      <c r="H145" s="52">
        <f t="shared" si="30"/>
        <v>75847.835745994395</v>
      </c>
      <c r="I145" s="505">
        <f t="shared" si="40"/>
        <v>1173.6345052994818</v>
      </c>
      <c r="J145" s="47">
        <f t="shared" si="38"/>
        <v>381621.85536024888</v>
      </c>
      <c r="K145" s="47">
        <f t="shared" si="39"/>
        <v>-94980.989431419221</v>
      </c>
    </row>
    <row r="146" spans="1:11">
      <c r="A146" s="137">
        <v>43769</v>
      </c>
      <c r="B146" s="3">
        <f t="shared" si="35"/>
        <v>1655.4560687843766</v>
      </c>
      <c r="C146" s="47">
        <f t="shared" si="23"/>
        <v>167201.06294722203</v>
      </c>
      <c r="D146" s="47">
        <f t="shared" si="24"/>
        <v>783300.02917777887</v>
      </c>
      <c r="E146" s="41">
        <f t="shared" si="36"/>
        <v>-75935.097755185387</v>
      </c>
      <c r="F146" s="140">
        <f t="shared" si="37"/>
        <v>-950501.0921250009</v>
      </c>
      <c r="G146" s="47">
        <f t="shared" si="29"/>
        <v>-167201.06294722203</v>
      </c>
      <c r="H146" s="52">
        <f t="shared" si="30"/>
        <v>75935.097755185387</v>
      </c>
      <c r="I146" s="505">
        <f>+$B$40*0.02955/12</f>
        <v>1173.6345052994818</v>
      </c>
      <c r="J146" s="47">
        <f t="shared" si="38"/>
        <v>382795.48986554838</v>
      </c>
      <c r="K146" s="47">
        <f t="shared" si="39"/>
        <v>-93807.354926119733</v>
      </c>
    </row>
    <row r="147" spans="1:11">
      <c r="A147" s="137">
        <v>43799</v>
      </c>
      <c r="B147" s="3">
        <f t="shared" si="35"/>
        <v>1655.4560687843766</v>
      </c>
      <c r="C147" s="47">
        <f t="shared" si="23"/>
        <v>168856.51901600641</v>
      </c>
      <c r="D147" s="47">
        <f t="shared" si="24"/>
        <v>781644.57310899452</v>
      </c>
      <c r="E147" s="41">
        <f t="shared" si="36"/>
        <v>-76022.359764376364</v>
      </c>
      <c r="F147" s="140">
        <f t="shared" si="37"/>
        <v>-950501.0921250009</v>
      </c>
      <c r="G147" s="47">
        <f t="shared" si="29"/>
        <v>-168856.51901600641</v>
      </c>
      <c r="H147" s="52">
        <f t="shared" si="30"/>
        <v>76022.359764376364</v>
      </c>
      <c r="I147" s="505">
        <f t="shared" si="40"/>
        <v>1173.6345052994818</v>
      </c>
      <c r="J147" s="47">
        <f t="shared" si="38"/>
        <v>383969.12437084789</v>
      </c>
      <c r="K147" s="47">
        <f t="shared" si="39"/>
        <v>-92633.720420820246</v>
      </c>
    </row>
    <row r="148" spans="1:11">
      <c r="A148" s="137">
        <v>43830</v>
      </c>
      <c r="B148" s="3">
        <f>$B$42*$B$43/12</f>
        <v>1655.4560687843766</v>
      </c>
      <c r="C148" s="47">
        <f>C147+B148</f>
        <v>170511.97508479079</v>
      </c>
      <c r="D148" s="47">
        <f>$B$42-C148</f>
        <v>779989.11704021017</v>
      </c>
      <c r="E148" s="41">
        <f>-(D148*$B$38/(+$B$38+$B$39)+K148)*0.254</f>
        <v>-76109.621773567371</v>
      </c>
      <c r="F148" s="140">
        <f t="shared" si="37"/>
        <v>-950501.0921250009</v>
      </c>
      <c r="G148" s="47">
        <f>-C148</f>
        <v>-170511.97508479079</v>
      </c>
      <c r="H148" s="52">
        <f>-E148</f>
        <v>76109.621773567371</v>
      </c>
      <c r="I148" s="505">
        <f t="shared" si="40"/>
        <v>1173.6345052994818</v>
      </c>
      <c r="J148" s="47">
        <f>+I148+J147</f>
        <v>385142.75887614739</v>
      </c>
      <c r="K148" s="47">
        <f>+K147+I148</f>
        <v>-91460.085915520758</v>
      </c>
    </row>
    <row r="149" spans="1:11">
      <c r="A149" s="137">
        <v>43861</v>
      </c>
      <c r="B149" s="3">
        <f t="shared" ref="B149:B212" si="41">$B$42*$B$43/12</f>
        <v>1655.4560687843766</v>
      </c>
      <c r="C149" s="47">
        <f t="shared" ref="C149:C184" si="42">C148+B149</f>
        <v>172167.43115357516</v>
      </c>
      <c r="D149" s="47">
        <f t="shared" ref="D149:D184" si="43">$B$42-C149</f>
        <v>778333.66097142571</v>
      </c>
      <c r="E149" s="41">
        <f t="shared" ref="E149:E159" si="44">-(D149*$B$38/(+$B$38+$B$39)+K149)*0.254</f>
        <v>-76196.883782758334</v>
      </c>
      <c r="F149" s="140">
        <f t="shared" si="37"/>
        <v>-950501.0921250009</v>
      </c>
      <c r="G149" s="47">
        <f t="shared" ref="G149:G184" si="45">-C149</f>
        <v>-172167.43115357516</v>
      </c>
      <c r="H149" s="52">
        <f t="shared" ref="H149:H184" si="46">-E149</f>
        <v>76196.883782758334</v>
      </c>
      <c r="I149" s="505">
        <f t="shared" si="40"/>
        <v>1173.6345052994818</v>
      </c>
      <c r="J149" s="47">
        <f t="shared" ref="J149:J184" si="47">+I149+J148</f>
        <v>386316.39338144689</v>
      </c>
      <c r="K149" s="47">
        <f t="shared" ref="K149:K184" si="48">+K148+I149</f>
        <v>-90286.451410221271</v>
      </c>
    </row>
    <row r="150" spans="1:11">
      <c r="A150" s="137">
        <v>43890</v>
      </c>
      <c r="B150" s="3">
        <f t="shared" si="41"/>
        <v>1655.4560687843766</v>
      </c>
      <c r="C150" s="47">
        <f t="shared" si="42"/>
        <v>173822.88722235954</v>
      </c>
      <c r="D150" s="47">
        <f t="shared" si="43"/>
        <v>776678.20490264136</v>
      </c>
      <c r="E150" s="41">
        <f t="shared" si="44"/>
        <v>-76284.145791949311</v>
      </c>
      <c r="F150" s="140">
        <f t="shared" si="37"/>
        <v>-950501.0921250009</v>
      </c>
      <c r="G150" s="47">
        <f t="shared" si="45"/>
        <v>-173822.88722235954</v>
      </c>
      <c r="H150" s="52">
        <f t="shared" si="46"/>
        <v>76284.145791949311</v>
      </c>
      <c r="I150" s="505">
        <f t="shared" si="40"/>
        <v>1173.6345052994818</v>
      </c>
      <c r="J150" s="47">
        <f t="shared" si="47"/>
        <v>387490.02788674639</v>
      </c>
      <c r="K150" s="47">
        <f t="shared" si="48"/>
        <v>-89112.816904921783</v>
      </c>
    </row>
    <row r="151" spans="1:11">
      <c r="A151" s="137">
        <v>43921</v>
      </c>
      <c r="B151" s="3">
        <f t="shared" si="41"/>
        <v>1655.4560687843766</v>
      </c>
      <c r="C151" s="47">
        <f t="shared" si="42"/>
        <v>175478.34329114392</v>
      </c>
      <c r="D151" s="47">
        <f t="shared" si="43"/>
        <v>775022.74883385701</v>
      </c>
      <c r="E151" s="41">
        <f t="shared" si="44"/>
        <v>-76371.407801140303</v>
      </c>
      <c r="F151" s="140">
        <f t="shared" si="37"/>
        <v>-950501.0921250009</v>
      </c>
      <c r="G151" s="47">
        <f t="shared" si="45"/>
        <v>-175478.34329114392</v>
      </c>
      <c r="H151" s="52">
        <f t="shared" si="46"/>
        <v>76371.407801140303</v>
      </c>
      <c r="I151" s="505">
        <f t="shared" si="40"/>
        <v>1173.6345052994818</v>
      </c>
      <c r="J151" s="47">
        <f t="shared" si="47"/>
        <v>388663.6623920459</v>
      </c>
      <c r="K151" s="47">
        <f t="shared" si="48"/>
        <v>-87939.182399622296</v>
      </c>
    </row>
    <row r="152" spans="1:11">
      <c r="A152" s="137">
        <v>43951</v>
      </c>
      <c r="B152" s="3">
        <f t="shared" si="41"/>
        <v>1655.4560687843766</v>
      </c>
      <c r="C152" s="47">
        <f t="shared" si="42"/>
        <v>177133.79935992829</v>
      </c>
      <c r="D152" s="47">
        <f t="shared" si="43"/>
        <v>773367.29276507255</v>
      </c>
      <c r="E152" s="41">
        <f t="shared" si="44"/>
        <v>-76458.669810331281</v>
      </c>
      <c r="F152" s="140">
        <f t="shared" si="37"/>
        <v>-950501.0921250009</v>
      </c>
      <c r="G152" s="47">
        <f t="shared" si="45"/>
        <v>-177133.79935992829</v>
      </c>
      <c r="H152" s="52">
        <f t="shared" si="46"/>
        <v>76458.669810331281</v>
      </c>
      <c r="I152" s="505">
        <f t="shared" si="40"/>
        <v>1173.6345052994818</v>
      </c>
      <c r="J152" s="47">
        <f t="shared" si="47"/>
        <v>389837.2968973454</v>
      </c>
      <c r="K152" s="47">
        <f t="shared" si="48"/>
        <v>-86765.547894322808</v>
      </c>
    </row>
    <row r="153" spans="1:11">
      <c r="A153" s="137">
        <v>43982</v>
      </c>
      <c r="B153" s="3">
        <f t="shared" si="41"/>
        <v>1655.4560687843766</v>
      </c>
      <c r="C153" s="47">
        <f t="shared" si="42"/>
        <v>178789.25542871267</v>
      </c>
      <c r="D153" s="47">
        <f t="shared" si="43"/>
        <v>771711.8366962882</v>
      </c>
      <c r="E153" s="41">
        <f t="shared" si="44"/>
        <v>-76545.931819522244</v>
      </c>
      <c r="F153" s="140">
        <f t="shared" si="37"/>
        <v>-950501.0921250009</v>
      </c>
      <c r="G153" s="47">
        <f t="shared" si="45"/>
        <v>-178789.25542871267</v>
      </c>
      <c r="H153" s="52">
        <f t="shared" si="46"/>
        <v>76545.931819522244</v>
      </c>
      <c r="I153" s="505">
        <f t="shared" si="40"/>
        <v>1173.6345052994818</v>
      </c>
      <c r="J153" s="47">
        <f t="shared" si="47"/>
        <v>391010.9314026449</v>
      </c>
      <c r="K153" s="47">
        <f t="shared" si="48"/>
        <v>-85591.913389023321</v>
      </c>
    </row>
    <row r="154" spans="1:11">
      <c r="A154" s="137">
        <v>44012</v>
      </c>
      <c r="B154" s="3">
        <f t="shared" si="41"/>
        <v>1655.4560687843766</v>
      </c>
      <c r="C154" s="47">
        <f t="shared" si="42"/>
        <v>180444.71149749705</v>
      </c>
      <c r="D154" s="47">
        <f t="shared" si="43"/>
        <v>770056.38062750385</v>
      </c>
      <c r="E154" s="41">
        <f t="shared" si="44"/>
        <v>-76633.193828713251</v>
      </c>
      <c r="F154" s="140">
        <f t="shared" si="37"/>
        <v>-950501.0921250009</v>
      </c>
      <c r="G154" s="47">
        <f t="shared" si="45"/>
        <v>-180444.71149749705</v>
      </c>
      <c r="H154" s="52">
        <f t="shared" si="46"/>
        <v>76633.193828713251</v>
      </c>
      <c r="I154" s="505">
        <f t="shared" si="40"/>
        <v>1173.6345052994818</v>
      </c>
      <c r="J154" s="47">
        <f t="shared" si="47"/>
        <v>392184.5659079444</v>
      </c>
      <c r="K154" s="47">
        <f t="shared" si="48"/>
        <v>-84418.278883723833</v>
      </c>
    </row>
    <row r="155" spans="1:11">
      <c r="A155" s="137">
        <v>44043</v>
      </c>
      <c r="B155" s="3">
        <f t="shared" si="41"/>
        <v>1655.4560687843766</v>
      </c>
      <c r="C155" s="47">
        <f t="shared" si="42"/>
        <v>182100.16756628142</v>
      </c>
      <c r="D155" s="47">
        <f t="shared" si="43"/>
        <v>768400.9245587195</v>
      </c>
      <c r="E155" s="41">
        <f t="shared" si="44"/>
        <v>-76720.455837904228</v>
      </c>
      <c r="F155" s="140">
        <f t="shared" si="37"/>
        <v>-950501.0921250009</v>
      </c>
      <c r="G155" s="47">
        <f t="shared" si="45"/>
        <v>-182100.16756628142</v>
      </c>
      <c r="H155" s="52">
        <f t="shared" si="46"/>
        <v>76720.455837904228</v>
      </c>
      <c r="I155" s="505">
        <f t="shared" si="40"/>
        <v>1173.6345052994818</v>
      </c>
      <c r="J155" s="47">
        <f t="shared" si="47"/>
        <v>393358.2004132439</v>
      </c>
      <c r="K155" s="47">
        <f t="shared" si="48"/>
        <v>-83244.644378424346</v>
      </c>
    </row>
    <row r="156" spans="1:11">
      <c r="A156" s="137">
        <v>44074</v>
      </c>
      <c r="B156" s="3">
        <f t="shared" si="41"/>
        <v>1655.4560687843766</v>
      </c>
      <c r="C156" s="47">
        <f t="shared" si="42"/>
        <v>183755.6236350658</v>
      </c>
      <c r="D156" s="47">
        <f t="shared" si="43"/>
        <v>766745.46848993516</v>
      </c>
      <c r="E156" s="41">
        <f t="shared" si="44"/>
        <v>-76807.71784709522</v>
      </c>
      <c r="F156" s="140">
        <f t="shared" si="37"/>
        <v>-950501.0921250009</v>
      </c>
      <c r="G156" s="47">
        <f t="shared" si="45"/>
        <v>-183755.6236350658</v>
      </c>
      <c r="H156" s="52">
        <f t="shared" si="46"/>
        <v>76807.71784709522</v>
      </c>
      <c r="I156" s="505">
        <f t="shared" si="40"/>
        <v>1173.6345052994818</v>
      </c>
      <c r="J156" s="47">
        <f t="shared" si="47"/>
        <v>394531.83491854341</v>
      </c>
      <c r="K156" s="47">
        <f t="shared" si="48"/>
        <v>-82071.009873124858</v>
      </c>
    </row>
    <row r="157" spans="1:11">
      <c r="A157" s="137">
        <v>44104</v>
      </c>
      <c r="B157" s="3">
        <f t="shared" si="41"/>
        <v>1655.4560687843766</v>
      </c>
      <c r="C157" s="47">
        <f t="shared" si="42"/>
        <v>185411.07970385018</v>
      </c>
      <c r="D157" s="47">
        <f t="shared" si="43"/>
        <v>765090.01242115069</v>
      </c>
      <c r="E157" s="41">
        <f t="shared" si="44"/>
        <v>-76894.979856286183</v>
      </c>
      <c r="F157" s="140">
        <f t="shared" si="37"/>
        <v>-950501.0921250009</v>
      </c>
      <c r="G157" s="47">
        <f t="shared" si="45"/>
        <v>-185411.07970385018</v>
      </c>
      <c r="H157" s="52">
        <f t="shared" si="46"/>
        <v>76894.979856286183</v>
      </c>
      <c r="I157" s="505">
        <f t="shared" si="40"/>
        <v>1173.6345052994818</v>
      </c>
      <c r="J157" s="47">
        <f t="shared" si="47"/>
        <v>395705.46942384291</v>
      </c>
      <c r="K157" s="47">
        <f t="shared" si="48"/>
        <v>-80897.375367825371</v>
      </c>
    </row>
    <row r="158" spans="1:11">
      <c r="A158" s="137">
        <v>44135</v>
      </c>
      <c r="B158" s="3">
        <f t="shared" si="41"/>
        <v>1655.4560687843766</v>
      </c>
      <c r="C158" s="47">
        <f t="shared" si="42"/>
        <v>187066.53577263455</v>
      </c>
      <c r="D158" s="47">
        <f t="shared" si="43"/>
        <v>763434.55635236634</v>
      </c>
      <c r="E158" s="41">
        <f t="shared" si="44"/>
        <v>-76982.241865477161</v>
      </c>
      <c r="F158" s="140">
        <f t="shared" si="37"/>
        <v>-950501.0921250009</v>
      </c>
      <c r="G158" s="47">
        <f t="shared" si="45"/>
        <v>-187066.53577263455</v>
      </c>
      <c r="H158" s="52">
        <f t="shared" si="46"/>
        <v>76982.241865477161</v>
      </c>
      <c r="I158" s="505">
        <f t="shared" si="40"/>
        <v>1173.6345052994818</v>
      </c>
      <c r="J158" s="47">
        <f t="shared" si="47"/>
        <v>396879.10392914241</v>
      </c>
      <c r="K158" s="47">
        <f t="shared" si="48"/>
        <v>-79723.740862525883</v>
      </c>
    </row>
    <row r="159" spans="1:11">
      <c r="A159" s="137">
        <v>44165</v>
      </c>
      <c r="B159" s="3">
        <f t="shared" si="41"/>
        <v>1655.4560687843766</v>
      </c>
      <c r="C159" s="47">
        <f t="shared" si="42"/>
        <v>188721.99184141893</v>
      </c>
      <c r="D159" s="47">
        <f t="shared" si="43"/>
        <v>761779.100283582</v>
      </c>
      <c r="E159" s="41">
        <f t="shared" si="44"/>
        <v>-77069.503874668168</v>
      </c>
      <c r="F159" s="140">
        <f t="shared" si="37"/>
        <v>-950501.0921250009</v>
      </c>
      <c r="G159" s="47">
        <f t="shared" si="45"/>
        <v>-188721.99184141893</v>
      </c>
      <c r="H159" s="52">
        <f t="shared" si="46"/>
        <v>77069.503874668168</v>
      </c>
      <c r="I159" s="505">
        <f t="shared" si="40"/>
        <v>1173.6345052994818</v>
      </c>
      <c r="J159" s="47">
        <f t="shared" si="47"/>
        <v>398052.73843444191</v>
      </c>
      <c r="K159" s="47">
        <f t="shared" si="48"/>
        <v>-78550.106357226396</v>
      </c>
    </row>
    <row r="160" spans="1:11">
      <c r="A160" s="137">
        <v>44196</v>
      </c>
      <c r="B160" s="3">
        <f t="shared" si="41"/>
        <v>1655.4560687843766</v>
      </c>
      <c r="C160" s="47">
        <f t="shared" si="42"/>
        <v>190377.44791020331</v>
      </c>
      <c r="D160" s="47">
        <f t="shared" si="43"/>
        <v>760123.64421479753</v>
      </c>
      <c r="E160" s="41">
        <f>-(D160*$B$38/(+$B$38+$B$39)+K160)*0.254</f>
        <v>-77156.765883859131</v>
      </c>
      <c r="F160" s="140">
        <f t="shared" si="37"/>
        <v>-950501.0921250009</v>
      </c>
      <c r="G160" s="47">
        <f t="shared" si="45"/>
        <v>-190377.44791020331</v>
      </c>
      <c r="H160" s="52">
        <f t="shared" si="46"/>
        <v>77156.765883859131</v>
      </c>
      <c r="I160" s="505">
        <f t="shared" si="40"/>
        <v>1173.6345052994818</v>
      </c>
      <c r="J160" s="47">
        <f t="shared" si="47"/>
        <v>399226.37293974141</v>
      </c>
      <c r="K160" s="47">
        <f t="shared" si="48"/>
        <v>-77376.471851926908</v>
      </c>
    </row>
    <row r="161" spans="1:11">
      <c r="A161" s="137">
        <v>44227</v>
      </c>
      <c r="B161" s="3">
        <f t="shared" si="41"/>
        <v>1655.4560687843766</v>
      </c>
      <c r="C161" s="47">
        <f t="shared" si="42"/>
        <v>192032.90397898768</v>
      </c>
      <c r="D161" s="47">
        <f t="shared" si="43"/>
        <v>758468.18814601318</v>
      </c>
      <c r="E161" s="41">
        <f t="shared" ref="E161:E184" si="49">-(D161*$B$38/(+$B$38+$B$39)+K161)*0.254</f>
        <v>-77244.027893050108</v>
      </c>
      <c r="F161" s="140">
        <f t="shared" si="37"/>
        <v>-950501.0921250009</v>
      </c>
      <c r="G161" s="47">
        <f t="shared" si="45"/>
        <v>-192032.90397898768</v>
      </c>
      <c r="H161" s="52">
        <f t="shared" si="46"/>
        <v>77244.027893050108</v>
      </c>
      <c r="I161" s="505">
        <f t="shared" si="40"/>
        <v>1173.6345052994818</v>
      </c>
      <c r="J161" s="47">
        <f t="shared" si="47"/>
        <v>400400.00744504092</v>
      </c>
      <c r="K161" s="47">
        <f t="shared" si="48"/>
        <v>-76202.837346627421</v>
      </c>
    </row>
    <row r="162" spans="1:11">
      <c r="A162" s="137" t="s">
        <v>1669</v>
      </c>
      <c r="B162" s="3">
        <f t="shared" si="41"/>
        <v>1655.4560687843766</v>
      </c>
      <c r="C162" s="47">
        <f t="shared" si="42"/>
        <v>193688.36004777206</v>
      </c>
      <c r="D162" s="47">
        <f t="shared" si="43"/>
        <v>756812.73207722884</v>
      </c>
      <c r="E162" s="41">
        <f t="shared" si="49"/>
        <v>-77331.2899022411</v>
      </c>
      <c r="F162" s="140">
        <f t="shared" si="37"/>
        <v>-950501.0921250009</v>
      </c>
      <c r="G162" s="47">
        <f t="shared" si="45"/>
        <v>-193688.36004777206</v>
      </c>
      <c r="H162" s="52">
        <f t="shared" si="46"/>
        <v>77331.2899022411</v>
      </c>
      <c r="I162" s="505">
        <f t="shared" si="40"/>
        <v>1173.6345052994818</v>
      </c>
      <c r="J162" s="47">
        <f t="shared" si="47"/>
        <v>401573.64195034042</v>
      </c>
      <c r="K162" s="47">
        <f t="shared" si="48"/>
        <v>-75029.202841327933</v>
      </c>
    </row>
    <row r="163" spans="1:11">
      <c r="A163" s="137">
        <v>44286</v>
      </c>
      <c r="B163" s="3">
        <f t="shared" si="41"/>
        <v>1655.4560687843766</v>
      </c>
      <c r="C163" s="47">
        <f t="shared" si="42"/>
        <v>195343.81611655644</v>
      </c>
      <c r="D163" s="47">
        <f t="shared" si="43"/>
        <v>755157.27600844449</v>
      </c>
      <c r="E163" s="41">
        <f t="shared" si="49"/>
        <v>-77418.551911432078</v>
      </c>
      <c r="F163" s="140">
        <f t="shared" si="37"/>
        <v>-950501.0921250009</v>
      </c>
      <c r="G163" s="47">
        <f t="shared" si="45"/>
        <v>-195343.81611655644</v>
      </c>
      <c r="H163" s="52">
        <f t="shared" si="46"/>
        <v>77418.551911432078</v>
      </c>
      <c r="I163" s="505">
        <f t="shared" si="40"/>
        <v>1173.6345052994818</v>
      </c>
      <c r="J163" s="47">
        <f t="shared" si="47"/>
        <v>402747.27645563992</v>
      </c>
      <c r="K163" s="47">
        <f t="shared" si="48"/>
        <v>-73855.568336028446</v>
      </c>
    </row>
    <row r="164" spans="1:11">
      <c r="A164" s="137">
        <v>44316</v>
      </c>
      <c r="B164" s="3">
        <f t="shared" si="41"/>
        <v>1655.4560687843766</v>
      </c>
      <c r="C164" s="47">
        <f t="shared" si="42"/>
        <v>196999.27218534081</v>
      </c>
      <c r="D164" s="47">
        <f t="shared" si="43"/>
        <v>753501.81993966014</v>
      </c>
      <c r="E164" s="41">
        <f t="shared" si="49"/>
        <v>-77505.81392062307</v>
      </c>
      <c r="F164" s="140">
        <f t="shared" si="37"/>
        <v>-950501.0921250009</v>
      </c>
      <c r="G164" s="47">
        <f t="shared" si="45"/>
        <v>-196999.27218534081</v>
      </c>
      <c r="H164" s="52">
        <f t="shared" si="46"/>
        <v>77505.81392062307</v>
      </c>
      <c r="I164" s="505">
        <f t="shared" si="40"/>
        <v>1173.6345052994818</v>
      </c>
      <c r="J164" s="47">
        <f t="shared" si="47"/>
        <v>403920.91096093942</v>
      </c>
      <c r="K164" s="47">
        <f t="shared" si="48"/>
        <v>-72681.933830728958</v>
      </c>
    </row>
    <row r="165" spans="1:11">
      <c r="A165" s="137">
        <v>44347</v>
      </c>
      <c r="B165" s="3">
        <f t="shared" si="41"/>
        <v>1655.4560687843766</v>
      </c>
      <c r="C165" s="47">
        <f t="shared" si="42"/>
        <v>198654.72825412519</v>
      </c>
      <c r="D165" s="47">
        <f t="shared" si="43"/>
        <v>751846.36387087568</v>
      </c>
      <c r="E165" s="41">
        <f t="shared" si="49"/>
        <v>-77593.075929814047</v>
      </c>
      <c r="F165" s="140">
        <f t="shared" si="37"/>
        <v>-950501.0921250009</v>
      </c>
      <c r="G165" s="47">
        <f t="shared" si="45"/>
        <v>-198654.72825412519</v>
      </c>
      <c r="H165" s="52">
        <f t="shared" si="46"/>
        <v>77593.075929814047</v>
      </c>
      <c r="I165" s="505">
        <f t="shared" si="40"/>
        <v>1173.6345052994818</v>
      </c>
      <c r="J165" s="47">
        <f t="shared" si="47"/>
        <v>405094.54546623892</v>
      </c>
      <c r="K165" s="47">
        <f t="shared" si="48"/>
        <v>-71508.299325429471</v>
      </c>
    </row>
    <row r="166" spans="1:11">
      <c r="A166" s="137">
        <v>44377</v>
      </c>
      <c r="B166" s="3">
        <f t="shared" si="41"/>
        <v>1655.4560687843766</v>
      </c>
      <c r="C166" s="47">
        <f t="shared" si="42"/>
        <v>200310.18432290957</v>
      </c>
      <c r="D166" s="47">
        <f t="shared" si="43"/>
        <v>750190.90780209133</v>
      </c>
      <c r="E166" s="41">
        <f t="shared" si="49"/>
        <v>-77680.337939005025</v>
      </c>
      <c r="F166" s="140">
        <f t="shared" si="37"/>
        <v>-950501.0921250009</v>
      </c>
      <c r="G166" s="47">
        <f t="shared" si="45"/>
        <v>-200310.18432290957</v>
      </c>
      <c r="H166" s="52">
        <f t="shared" si="46"/>
        <v>77680.337939005025</v>
      </c>
      <c r="I166" s="505">
        <f t="shared" si="40"/>
        <v>1173.6345052994818</v>
      </c>
      <c r="J166" s="47">
        <f t="shared" si="47"/>
        <v>406268.17997153843</v>
      </c>
      <c r="K166" s="47">
        <f t="shared" si="48"/>
        <v>-70334.664820129983</v>
      </c>
    </row>
    <row r="167" spans="1:11">
      <c r="A167" s="137">
        <v>44408</v>
      </c>
      <c r="B167" s="3">
        <f t="shared" si="41"/>
        <v>1655.4560687843766</v>
      </c>
      <c r="C167" s="47">
        <f t="shared" si="42"/>
        <v>201965.64039169395</v>
      </c>
      <c r="D167" s="47">
        <f t="shared" si="43"/>
        <v>748535.45173330698</v>
      </c>
      <c r="E167" s="41">
        <f t="shared" si="49"/>
        <v>-77767.599948196017</v>
      </c>
      <c r="F167" s="140">
        <f t="shared" si="37"/>
        <v>-950501.0921250009</v>
      </c>
      <c r="G167" s="47">
        <f t="shared" si="45"/>
        <v>-201965.64039169395</v>
      </c>
      <c r="H167" s="52">
        <f t="shared" si="46"/>
        <v>77767.599948196017</v>
      </c>
      <c r="I167" s="505">
        <f t="shared" si="40"/>
        <v>1173.6345052994818</v>
      </c>
      <c r="J167" s="47">
        <f t="shared" si="47"/>
        <v>407441.81447683793</v>
      </c>
      <c r="K167" s="47">
        <f t="shared" si="48"/>
        <v>-69161.030314830496</v>
      </c>
    </row>
    <row r="168" spans="1:11">
      <c r="A168" s="137">
        <v>44439</v>
      </c>
      <c r="B168" s="3">
        <f t="shared" si="41"/>
        <v>1655.4560687843766</v>
      </c>
      <c r="C168" s="47">
        <f t="shared" si="42"/>
        <v>203621.09646047832</v>
      </c>
      <c r="D168" s="47">
        <f t="shared" si="43"/>
        <v>746879.99566452252</v>
      </c>
      <c r="E168" s="41">
        <f t="shared" si="49"/>
        <v>-77854.86195738698</v>
      </c>
      <c r="F168" s="140">
        <f t="shared" si="37"/>
        <v>-950501.0921250009</v>
      </c>
      <c r="G168" s="47">
        <f t="shared" si="45"/>
        <v>-203621.09646047832</v>
      </c>
      <c r="H168" s="52">
        <f t="shared" si="46"/>
        <v>77854.86195738698</v>
      </c>
      <c r="I168" s="505">
        <f t="shared" si="40"/>
        <v>1173.6345052994818</v>
      </c>
      <c r="J168" s="47">
        <f t="shared" si="47"/>
        <v>408615.44898213743</v>
      </c>
      <c r="K168" s="47">
        <f t="shared" si="48"/>
        <v>-67987.395809531008</v>
      </c>
    </row>
    <row r="169" spans="1:11">
      <c r="A169" s="137">
        <v>44469</v>
      </c>
      <c r="B169" s="3">
        <f t="shared" si="41"/>
        <v>1655.4560687843766</v>
      </c>
      <c r="C169" s="47">
        <f t="shared" si="42"/>
        <v>205276.5525292627</v>
      </c>
      <c r="D169" s="47">
        <f t="shared" si="43"/>
        <v>745224.53959573817</v>
      </c>
      <c r="E169" s="41">
        <f t="shared" si="49"/>
        <v>-77942.123966577972</v>
      </c>
      <c r="F169" s="140">
        <f t="shared" si="37"/>
        <v>-950501.0921250009</v>
      </c>
      <c r="G169" s="47">
        <f t="shared" si="45"/>
        <v>-205276.5525292627</v>
      </c>
      <c r="H169" s="52">
        <f t="shared" si="46"/>
        <v>77942.123966577972</v>
      </c>
      <c r="I169" s="505">
        <f t="shared" si="40"/>
        <v>1173.6345052994818</v>
      </c>
      <c r="J169" s="47">
        <f t="shared" si="47"/>
        <v>409789.08348743693</v>
      </c>
      <c r="K169" s="47">
        <f t="shared" si="48"/>
        <v>-66813.761304231521</v>
      </c>
    </row>
    <row r="170" spans="1:11">
      <c r="A170" s="137">
        <v>44500</v>
      </c>
      <c r="B170" s="3">
        <f t="shared" si="41"/>
        <v>1655.4560687843766</v>
      </c>
      <c r="C170" s="47">
        <f t="shared" si="42"/>
        <v>206932.00859804708</v>
      </c>
      <c r="D170" s="47">
        <f t="shared" si="43"/>
        <v>743569.08352695382</v>
      </c>
      <c r="E170" s="41">
        <f t="shared" si="49"/>
        <v>-78029.385975768964</v>
      </c>
      <c r="F170" s="140">
        <f t="shared" si="37"/>
        <v>-950501.0921250009</v>
      </c>
      <c r="G170" s="47">
        <f t="shared" si="45"/>
        <v>-206932.00859804708</v>
      </c>
      <c r="H170" s="52">
        <f t="shared" si="46"/>
        <v>78029.385975768964</v>
      </c>
      <c r="I170" s="505">
        <f t="shared" si="40"/>
        <v>1173.6345052994818</v>
      </c>
      <c r="J170" s="47">
        <f t="shared" si="47"/>
        <v>410962.71799273643</v>
      </c>
      <c r="K170" s="47">
        <f t="shared" si="48"/>
        <v>-65640.126798932033</v>
      </c>
    </row>
    <row r="171" spans="1:11">
      <c r="A171" s="137">
        <v>44530</v>
      </c>
      <c r="B171" s="3">
        <f t="shared" si="41"/>
        <v>1655.4560687843766</v>
      </c>
      <c r="C171" s="47">
        <f t="shared" si="42"/>
        <v>208587.46466683145</v>
      </c>
      <c r="D171" s="47">
        <f t="shared" si="43"/>
        <v>741913.62745816947</v>
      </c>
      <c r="E171" s="41">
        <f t="shared" si="49"/>
        <v>-78116.647984959956</v>
      </c>
      <c r="F171" s="140">
        <f t="shared" si="37"/>
        <v>-950501.0921250009</v>
      </c>
      <c r="G171" s="47">
        <f t="shared" si="45"/>
        <v>-208587.46466683145</v>
      </c>
      <c r="H171" s="52">
        <f t="shared" si="46"/>
        <v>78116.647984959956</v>
      </c>
      <c r="I171" s="505">
        <f t="shared" si="40"/>
        <v>1173.6345052994818</v>
      </c>
      <c r="J171" s="47">
        <f t="shared" si="47"/>
        <v>412136.35249803594</v>
      </c>
      <c r="K171" s="47">
        <f t="shared" si="48"/>
        <v>-64466.492293632553</v>
      </c>
    </row>
    <row r="172" spans="1:11">
      <c r="A172" s="137">
        <v>44561</v>
      </c>
      <c r="B172" s="3">
        <f t="shared" si="41"/>
        <v>1655.4560687843766</v>
      </c>
      <c r="C172" s="47">
        <f t="shared" si="42"/>
        <v>210242.92073561583</v>
      </c>
      <c r="D172" s="47">
        <f t="shared" si="43"/>
        <v>740258.17138938513</v>
      </c>
      <c r="E172" s="41">
        <f t="shared" si="49"/>
        <v>-78203.909994150919</v>
      </c>
      <c r="F172" s="140">
        <f t="shared" si="37"/>
        <v>-950501.0921250009</v>
      </c>
      <c r="G172" s="47">
        <f t="shared" si="45"/>
        <v>-210242.92073561583</v>
      </c>
      <c r="H172" s="52">
        <f t="shared" si="46"/>
        <v>78203.909994150919</v>
      </c>
      <c r="I172" s="505">
        <f t="shared" si="40"/>
        <v>1173.6345052994818</v>
      </c>
      <c r="J172" s="47">
        <f t="shared" si="47"/>
        <v>413309.98700333544</v>
      </c>
      <c r="K172" s="47">
        <f t="shared" si="48"/>
        <v>-63292.857788333073</v>
      </c>
    </row>
    <row r="173" spans="1:11">
      <c r="A173" s="137">
        <v>44592</v>
      </c>
      <c r="B173" s="3">
        <f t="shared" si="41"/>
        <v>1655.4560687843766</v>
      </c>
      <c r="C173" s="47">
        <f t="shared" si="42"/>
        <v>211898.37680440021</v>
      </c>
      <c r="D173" s="47">
        <f t="shared" si="43"/>
        <v>738602.71532060066</v>
      </c>
      <c r="E173" s="41">
        <f t="shared" si="49"/>
        <v>-78291.172003341897</v>
      </c>
      <c r="F173" s="140">
        <f t="shared" si="37"/>
        <v>-950501.0921250009</v>
      </c>
      <c r="G173" s="47">
        <f t="shared" si="45"/>
        <v>-211898.37680440021</v>
      </c>
      <c r="H173" s="52">
        <f t="shared" si="46"/>
        <v>78291.172003341897</v>
      </c>
      <c r="I173" s="505">
        <f t="shared" si="40"/>
        <v>1173.6345052994818</v>
      </c>
      <c r="J173" s="47">
        <f t="shared" si="47"/>
        <v>414483.62150863494</v>
      </c>
      <c r="K173" s="47">
        <f t="shared" si="48"/>
        <v>-62119.223283033592</v>
      </c>
    </row>
    <row r="174" spans="1:11">
      <c r="A174" s="137">
        <v>44620</v>
      </c>
      <c r="B174" s="3">
        <f t="shared" si="41"/>
        <v>1655.4560687843766</v>
      </c>
      <c r="C174" s="47">
        <f t="shared" si="42"/>
        <v>213553.83287318458</v>
      </c>
      <c r="D174" s="47">
        <f t="shared" si="43"/>
        <v>736947.25925181631</v>
      </c>
      <c r="E174" s="41">
        <f t="shared" si="49"/>
        <v>-78378.434012532874</v>
      </c>
      <c r="F174" s="140">
        <f t="shared" si="37"/>
        <v>-950501.0921250009</v>
      </c>
      <c r="G174" s="47">
        <f t="shared" si="45"/>
        <v>-213553.83287318458</v>
      </c>
      <c r="H174" s="52">
        <f t="shared" si="46"/>
        <v>78378.434012532874</v>
      </c>
      <c r="I174" s="505">
        <f t="shared" si="40"/>
        <v>1173.6345052994818</v>
      </c>
      <c r="J174" s="47">
        <f t="shared" si="47"/>
        <v>415657.25601393444</v>
      </c>
      <c r="K174" s="47">
        <f t="shared" si="48"/>
        <v>-60945.588777734112</v>
      </c>
    </row>
    <row r="175" spans="1:11">
      <c r="A175" s="137">
        <v>44651</v>
      </c>
      <c r="B175" s="3">
        <f t="shared" si="41"/>
        <v>1655.4560687843766</v>
      </c>
      <c r="C175" s="47">
        <f t="shared" si="42"/>
        <v>215209.28894196896</v>
      </c>
      <c r="D175" s="47">
        <f t="shared" si="43"/>
        <v>735291.80318303197</v>
      </c>
      <c r="E175" s="41">
        <f t="shared" si="49"/>
        <v>-78465.696021723867</v>
      </c>
      <c r="F175" s="140">
        <f t="shared" si="37"/>
        <v>-950501.0921250009</v>
      </c>
      <c r="G175" s="47">
        <f t="shared" si="45"/>
        <v>-215209.28894196896</v>
      </c>
      <c r="H175" s="52">
        <f t="shared" si="46"/>
        <v>78465.696021723867</v>
      </c>
      <c r="I175" s="505">
        <f t="shared" si="40"/>
        <v>1173.6345052994818</v>
      </c>
      <c r="J175" s="47">
        <f t="shared" si="47"/>
        <v>416830.89051923394</v>
      </c>
      <c r="K175" s="47">
        <f t="shared" si="48"/>
        <v>-59771.954272434632</v>
      </c>
    </row>
    <row r="176" spans="1:11">
      <c r="A176" s="137">
        <v>44681</v>
      </c>
      <c r="B176" s="3">
        <f t="shared" si="41"/>
        <v>1655.4560687843766</v>
      </c>
      <c r="C176" s="47">
        <f t="shared" si="42"/>
        <v>216864.74501075334</v>
      </c>
      <c r="D176" s="47">
        <f t="shared" si="43"/>
        <v>733636.3471142475</v>
      </c>
      <c r="E176" s="41">
        <f t="shared" si="49"/>
        <v>-78552.958030914844</v>
      </c>
      <c r="F176" s="140">
        <f t="shared" si="37"/>
        <v>-950501.0921250009</v>
      </c>
      <c r="G176" s="47">
        <f t="shared" si="45"/>
        <v>-216864.74501075334</v>
      </c>
      <c r="H176" s="52">
        <f t="shared" si="46"/>
        <v>78552.958030914844</v>
      </c>
      <c r="I176" s="505">
        <f t="shared" si="40"/>
        <v>1173.6345052994818</v>
      </c>
      <c r="J176" s="47">
        <f t="shared" si="47"/>
        <v>418004.52502453345</v>
      </c>
      <c r="K176" s="47">
        <f t="shared" si="48"/>
        <v>-58598.319767135152</v>
      </c>
    </row>
    <row r="177" spans="1:11">
      <c r="A177" s="137">
        <v>44712</v>
      </c>
      <c r="B177" s="3">
        <f t="shared" si="41"/>
        <v>1655.4560687843766</v>
      </c>
      <c r="C177" s="47">
        <f t="shared" si="42"/>
        <v>218520.20107953771</v>
      </c>
      <c r="D177" s="47">
        <f t="shared" si="43"/>
        <v>731980.89104546316</v>
      </c>
      <c r="E177" s="41">
        <f t="shared" si="49"/>
        <v>-78640.220040105807</v>
      </c>
      <c r="F177" s="140">
        <f t="shared" si="37"/>
        <v>-950501.0921250009</v>
      </c>
      <c r="G177" s="47">
        <f t="shared" si="45"/>
        <v>-218520.20107953771</v>
      </c>
      <c r="H177" s="52">
        <f t="shared" si="46"/>
        <v>78640.220040105807</v>
      </c>
      <c r="I177" s="505">
        <f t="shared" si="40"/>
        <v>1173.6345052994818</v>
      </c>
      <c r="J177" s="47">
        <f t="shared" si="47"/>
        <v>419178.15952983295</v>
      </c>
      <c r="K177" s="47">
        <f t="shared" si="48"/>
        <v>-57424.685261835672</v>
      </c>
    </row>
    <row r="178" spans="1:11">
      <c r="A178" s="137">
        <v>44742</v>
      </c>
      <c r="B178" s="3">
        <f t="shared" si="41"/>
        <v>1655.4560687843766</v>
      </c>
      <c r="C178" s="47">
        <f t="shared" si="42"/>
        <v>220175.65714832209</v>
      </c>
      <c r="D178" s="47">
        <f t="shared" si="43"/>
        <v>730325.43497667881</v>
      </c>
      <c r="E178" s="41">
        <f t="shared" si="49"/>
        <v>-78727.482049296799</v>
      </c>
      <c r="F178" s="140">
        <f t="shared" si="37"/>
        <v>-950501.0921250009</v>
      </c>
      <c r="G178" s="47">
        <f t="shared" si="45"/>
        <v>-220175.65714832209</v>
      </c>
      <c r="H178" s="52">
        <f t="shared" si="46"/>
        <v>78727.482049296799</v>
      </c>
      <c r="I178" s="505">
        <f t="shared" si="40"/>
        <v>1173.6345052994818</v>
      </c>
      <c r="J178" s="47">
        <f t="shared" si="47"/>
        <v>420351.79403513245</v>
      </c>
      <c r="K178" s="47">
        <f t="shared" si="48"/>
        <v>-56251.050756536191</v>
      </c>
    </row>
    <row r="179" spans="1:11">
      <c r="A179" s="137">
        <v>44773</v>
      </c>
      <c r="B179" s="3">
        <f t="shared" si="41"/>
        <v>1655.4560687843766</v>
      </c>
      <c r="C179" s="47">
        <f t="shared" si="42"/>
        <v>221831.11321710647</v>
      </c>
      <c r="D179" s="47">
        <f t="shared" si="43"/>
        <v>728669.97890789446</v>
      </c>
      <c r="E179" s="41">
        <f t="shared" si="49"/>
        <v>-78814.744058487806</v>
      </c>
      <c r="F179" s="140">
        <f t="shared" si="37"/>
        <v>-950501.0921250009</v>
      </c>
      <c r="G179" s="47">
        <f t="shared" si="45"/>
        <v>-221831.11321710647</v>
      </c>
      <c r="H179" s="52">
        <f t="shared" si="46"/>
        <v>78814.744058487806</v>
      </c>
      <c r="I179" s="505">
        <f t="shared" si="40"/>
        <v>1173.6345052994818</v>
      </c>
      <c r="J179" s="47">
        <f t="shared" si="47"/>
        <v>421525.42854043195</v>
      </c>
      <c r="K179" s="47">
        <f t="shared" si="48"/>
        <v>-55077.416251236711</v>
      </c>
    </row>
    <row r="180" spans="1:11">
      <c r="A180" s="137">
        <v>44804</v>
      </c>
      <c r="B180" s="3">
        <f t="shared" si="41"/>
        <v>1655.4560687843766</v>
      </c>
      <c r="C180" s="47">
        <f t="shared" si="42"/>
        <v>223486.56928589084</v>
      </c>
      <c r="D180" s="47">
        <f t="shared" si="43"/>
        <v>727014.52283911011</v>
      </c>
      <c r="E180" s="41">
        <f t="shared" si="49"/>
        <v>-78902.006067678769</v>
      </c>
      <c r="F180" s="140">
        <f t="shared" si="37"/>
        <v>-950501.0921250009</v>
      </c>
      <c r="G180" s="47">
        <f t="shared" si="45"/>
        <v>-223486.56928589084</v>
      </c>
      <c r="H180" s="52">
        <f t="shared" si="46"/>
        <v>78902.006067678769</v>
      </c>
      <c r="I180" s="505">
        <f t="shared" si="40"/>
        <v>1173.6345052994818</v>
      </c>
      <c r="J180" s="47">
        <f t="shared" si="47"/>
        <v>422699.06304573145</v>
      </c>
      <c r="K180" s="47">
        <f t="shared" si="48"/>
        <v>-53903.781745937231</v>
      </c>
    </row>
    <row r="181" spans="1:11">
      <c r="A181" s="137">
        <v>44834</v>
      </c>
      <c r="B181" s="3">
        <f t="shared" si="41"/>
        <v>1655.4560687843766</v>
      </c>
      <c r="C181" s="47">
        <f t="shared" si="42"/>
        <v>225142.02535467522</v>
      </c>
      <c r="D181" s="47">
        <f t="shared" si="43"/>
        <v>725359.06677032565</v>
      </c>
      <c r="E181" s="41">
        <f t="shared" si="49"/>
        <v>-78989.268076869746</v>
      </c>
      <c r="F181" s="140">
        <f t="shared" si="37"/>
        <v>-950501.0921250009</v>
      </c>
      <c r="G181" s="47">
        <f t="shared" si="45"/>
        <v>-225142.02535467522</v>
      </c>
      <c r="H181" s="52">
        <f t="shared" si="46"/>
        <v>78989.268076869746</v>
      </c>
      <c r="I181" s="505">
        <f t="shared" si="40"/>
        <v>1173.6345052994818</v>
      </c>
      <c r="J181" s="47">
        <f t="shared" si="47"/>
        <v>423872.69755103096</v>
      </c>
      <c r="K181" s="47">
        <f t="shared" si="48"/>
        <v>-52730.147240637751</v>
      </c>
    </row>
    <row r="182" spans="1:11">
      <c r="A182" s="137">
        <v>44865</v>
      </c>
      <c r="B182" s="3">
        <f t="shared" si="41"/>
        <v>1655.4560687843766</v>
      </c>
      <c r="C182" s="47">
        <f t="shared" si="42"/>
        <v>226797.4814234596</v>
      </c>
      <c r="D182" s="47">
        <f t="shared" si="43"/>
        <v>723703.6107015413</v>
      </c>
      <c r="E182" s="41">
        <f t="shared" si="49"/>
        <v>-79076.530086060724</v>
      </c>
      <c r="F182" s="140">
        <f t="shared" si="37"/>
        <v>-950501.0921250009</v>
      </c>
      <c r="G182" s="47">
        <f t="shared" si="45"/>
        <v>-226797.4814234596</v>
      </c>
      <c r="H182" s="52">
        <f t="shared" si="46"/>
        <v>79076.530086060724</v>
      </c>
      <c r="I182" s="505">
        <f t="shared" si="40"/>
        <v>1173.6345052994818</v>
      </c>
      <c r="J182" s="47">
        <f t="shared" si="47"/>
        <v>425046.33205633046</v>
      </c>
      <c r="K182" s="47">
        <f t="shared" si="48"/>
        <v>-51556.51273533827</v>
      </c>
    </row>
    <row r="183" spans="1:11">
      <c r="A183" s="137">
        <v>44895</v>
      </c>
      <c r="B183" s="3">
        <f t="shared" si="41"/>
        <v>1655.4560687843766</v>
      </c>
      <c r="C183" s="47">
        <f t="shared" si="42"/>
        <v>228452.93749224397</v>
      </c>
      <c r="D183" s="47">
        <f t="shared" si="43"/>
        <v>722048.15463275695</v>
      </c>
      <c r="E183" s="41">
        <f t="shared" si="49"/>
        <v>-79163.792095251702</v>
      </c>
      <c r="F183" s="140">
        <f t="shared" si="37"/>
        <v>-950501.0921250009</v>
      </c>
      <c r="G183" s="47">
        <f t="shared" si="45"/>
        <v>-228452.93749224397</v>
      </c>
      <c r="H183" s="52">
        <f t="shared" si="46"/>
        <v>79163.792095251702</v>
      </c>
      <c r="I183" s="505">
        <f t="shared" si="40"/>
        <v>1173.6345052994818</v>
      </c>
      <c r="J183" s="47">
        <f t="shared" si="47"/>
        <v>426219.96656162996</v>
      </c>
      <c r="K183" s="47">
        <f t="shared" si="48"/>
        <v>-50382.87823003879</v>
      </c>
    </row>
    <row r="184" spans="1:11">
      <c r="A184" s="137">
        <v>44926</v>
      </c>
      <c r="B184" s="3">
        <f t="shared" si="41"/>
        <v>1655.4560687843766</v>
      </c>
      <c r="C184" s="47">
        <f t="shared" si="42"/>
        <v>230108.39356102835</v>
      </c>
      <c r="D184" s="47">
        <f t="shared" si="43"/>
        <v>720392.69856397249</v>
      </c>
      <c r="E184" s="41">
        <f t="shared" si="49"/>
        <v>-79251.054104442694</v>
      </c>
      <c r="F184" s="140">
        <f t="shared" si="37"/>
        <v>-950501.0921250009</v>
      </c>
      <c r="G184" s="47">
        <f t="shared" si="45"/>
        <v>-230108.39356102835</v>
      </c>
      <c r="H184" s="52">
        <f t="shared" si="46"/>
        <v>79251.054104442694</v>
      </c>
      <c r="I184" s="505">
        <f t="shared" si="40"/>
        <v>1173.6345052994818</v>
      </c>
      <c r="J184" s="47">
        <f t="shared" si="47"/>
        <v>427393.60106692946</v>
      </c>
      <c r="K184" s="47">
        <f t="shared" si="48"/>
        <v>-49209.24372473931</v>
      </c>
    </row>
    <row r="185" spans="1:11">
      <c r="A185" s="137">
        <v>44957</v>
      </c>
      <c r="B185" s="3">
        <f t="shared" si="41"/>
        <v>1655.4560687843766</v>
      </c>
      <c r="C185" s="47">
        <f t="shared" ref="C185:C208" si="50">C184+B185</f>
        <v>231763.84962981273</v>
      </c>
      <c r="D185" s="47">
        <f t="shared" ref="D185:D208" si="51">$B$42-C185</f>
        <v>718737.24249518814</v>
      </c>
      <c r="E185" s="41">
        <f t="shared" ref="E185:E208" si="52">-(D185*$B$38/(+$B$38+$B$39)+K185)*0.254</f>
        <v>-79338.316113633671</v>
      </c>
      <c r="F185" s="140">
        <f t="shared" si="37"/>
        <v>-950501.0921250009</v>
      </c>
      <c r="G185" s="47">
        <f t="shared" ref="G185:G208" si="53">-C185</f>
        <v>-231763.84962981273</v>
      </c>
      <c r="H185" s="52">
        <f t="shared" ref="H185:H208" si="54">-E185</f>
        <v>79338.316113633671</v>
      </c>
      <c r="I185" s="505">
        <f t="shared" si="40"/>
        <v>1173.6345052994818</v>
      </c>
      <c r="J185" s="47">
        <f t="shared" ref="J185:J208" si="55">+I185+J184</f>
        <v>428567.23557222896</v>
      </c>
      <c r="K185" s="47">
        <f t="shared" ref="K185:K208" si="56">+K184+I185</f>
        <v>-48035.60921943983</v>
      </c>
    </row>
    <row r="186" spans="1:11">
      <c r="A186" s="137">
        <v>44985</v>
      </c>
      <c r="B186" s="3">
        <f t="shared" si="41"/>
        <v>1655.4560687843766</v>
      </c>
      <c r="C186" s="47">
        <f t="shared" si="50"/>
        <v>233419.30569859711</v>
      </c>
      <c r="D186" s="47">
        <f t="shared" si="51"/>
        <v>717081.78642640379</v>
      </c>
      <c r="E186" s="41">
        <f t="shared" si="52"/>
        <v>-79425.578122824649</v>
      </c>
      <c r="F186" s="140">
        <f t="shared" si="37"/>
        <v>-950501.0921250009</v>
      </c>
      <c r="G186" s="47">
        <f t="shared" si="53"/>
        <v>-233419.30569859711</v>
      </c>
      <c r="H186" s="52">
        <f t="shared" si="54"/>
        <v>79425.578122824649</v>
      </c>
      <c r="I186" s="505">
        <f t="shared" si="40"/>
        <v>1173.6345052994818</v>
      </c>
      <c r="J186" s="47">
        <f t="shared" si="55"/>
        <v>429740.87007752847</v>
      </c>
      <c r="K186" s="47">
        <f t="shared" si="56"/>
        <v>-46861.97471414035</v>
      </c>
    </row>
    <row r="187" spans="1:11">
      <c r="A187" s="137">
        <v>45016</v>
      </c>
      <c r="B187" s="3">
        <f t="shared" si="41"/>
        <v>1655.4560687843766</v>
      </c>
      <c r="C187" s="47">
        <f t="shared" si="50"/>
        <v>235074.76176738148</v>
      </c>
      <c r="D187" s="47">
        <f t="shared" si="51"/>
        <v>715426.33035761944</v>
      </c>
      <c r="E187" s="41">
        <f t="shared" si="52"/>
        <v>-79512.840132015641</v>
      </c>
      <c r="F187" s="140">
        <f t="shared" si="37"/>
        <v>-950501.0921250009</v>
      </c>
      <c r="G187" s="47">
        <f t="shared" si="53"/>
        <v>-235074.76176738148</v>
      </c>
      <c r="H187" s="52">
        <f t="shared" si="54"/>
        <v>79512.840132015641</v>
      </c>
      <c r="I187" s="505">
        <f t="shared" si="40"/>
        <v>1173.6345052994818</v>
      </c>
      <c r="J187" s="47">
        <f t="shared" si="55"/>
        <v>430914.50458282797</v>
      </c>
      <c r="K187" s="47">
        <f t="shared" si="56"/>
        <v>-45688.340208840869</v>
      </c>
    </row>
    <row r="188" spans="1:11">
      <c r="A188" s="137">
        <v>45046</v>
      </c>
      <c r="B188" s="3">
        <f t="shared" si="41"/>
        <v>1655.4560687843766</v>
      </c>
      <c r="C188" s="47">
        <f t="shared" si="50"/>
        <v>236730.21783616586</v>
      </c>
      <c r="D188" s="47">
        <f t="shared" si="51"/>
        <v>713770.8742888351</v>
      </c>
      <c r="E188" s="41">
        <f t="shared" si="52"/>
        <v>-79600.102141206604</v>
      </c>
      <c r="F188" s="140">
        <f t="shared" si="37"/>
        <v>-950501.0921250009</v>
      </c>
      <c r="G188" s="47">
        <f t="shared" si="53"/>
        <v>-236730.21783616586</v>
      </c>
      <c r="H188" s="52">
        <f t="shared" si="54"/>
        <v>79600.102141206604</v>
      </c>
      <c r="I188" s="505">
        <f t="shared" si="40"/>
        <v>1173.6345052994818</v>
      </c>
      <c r="J188" s="47">
        <f t="shared" si="55"/>
        <v>432088.13908812747</v>
      </c>
      <c r="K188" s="47">
        <f t="shared" si="56"/>
        <v>-44514.705703541389</v>
      </c>
    </row>
    <row r="189" spans="1:11">
      <c r="A189" s="137">
        <v>45077</v>
      </c>
      <c r="B189" s="3">
        <f t="shared" si="41"/>
        <v>1655.4560687843766</v>
      </c>
      <c r="C189" s="47">
        <f t="shared" si="50"/>
        <v>238385.67390495024</v>
      </c>
      <c r="D189" s="47">
        <f t="shared" si="51"/>
        <v>712115.41822005063</v>
      </c>
      <c r="E189" s="41">
        <f t="shared" si="52"/>
        <v>-79687.364150397596</v>
      </c>
      <c r="F189" s="140">
        <f t="shared" ref="F189:F220" si="57">-$B$42</f>
        <v>-950501.0921250009</v>
      </c>
      <c r="G189" s="47">
        <f t="shared" si="53"/>
        <v>-238385.67390495024</v>
      </c>
      <c r="H189" s="52">
        <f t="shared" si="54"/>
        <v>79687.364150397596</v>
      </c>
      <c r="I189" s="505">
        <f t="shared" si="40"/>
        <v>1173.6345052994818</v>
      </c>
      <c r="J189" s="47">
        <f t="shared" si="55"/>
        <v>433261.77359342697</v>
      </c>
      <c r="K189" s="47">
        <f t="shared" si="56"/>
        <v>-43341.071198241909</v>
      </c>
    </row>
    <row r="190" spans="1:11">
      <c r="A190" s="137">
        <v>45107</v>
      </c>
      <c r="B190" s="3">
        <f t="shared" si="41"/>
        <v>1655.4560687843766</v>
      </c>
      <c r="C190" s="47">
        <f t="shared" si="50"/>
        <v>240041.12997373461</v>
      </c>
      <c r="D190" s="47">
        <f t="shared" si="51"/>
        <v>710459.96215126629</v>
      </c>
      <c r="E190" s="41">
        <f t="shared" si="52"/>
        <v>-79774.626159588574</v>
      </c>
      <c r="F190" s="140">
        <f t="shared" si="57"/>
        <v>-950501.0921250009</v>
      </c>
      <c r="G190" s="47">
        <f t="shared" si="53"/>
        <v>-240041.12997373461</v>
      </c>
      <c r="H190" s="52">
        <f t="shared" si="54"/>
        <v>79774.626159588574</v>
      </c>
      <c r="I190" s="505">
        <f t="shared" si="40"/>
        <v>1173.6345052994818</v>
      </c>
      <c r="J190" s="47">
        <f t="shared" si="55"/>
        <v>434435.40809872648</v>
      </c>
      <c r="K190" s="47">
        <f t="shared" si="56"/>
        <v>-42167.436692942429</v>
      </c>
    </row>
    <row r="191" spans="1:11">
      <c r="A191" s="137">
        <v>45138</v>
      </c>
      <c r="B191" s="3">
        <f t="shared" si="41"/>
        <v>1655.4560687843766</v>
      </c>
      <c r="C191" s="47">
        <f t="shared" si="50"/>
        <v>241696.58604251899</v>
      </c>
      <c r="D191" s="47">
        <f t="shared" si="51"/>
        <v>708804.50608248194</v>
      </c>
      <c r="E191" s="41">
        <f t="shared" si="52"/>
        <v>-79861.888168779551</v>
      </c>
      <c r="F191" s="140">
        <f t="shared" si="57"/>
        <v>-950501.0921250009</v>
      </c>
      <c r="G191" s="47">
        <f t="shared" si="53"/>
        <v>-241696.58604251899</v>
      </c>
      <c r="H191" s="52">
        <f t="shared" si="54"/>
        <v>79861.888168779551</v>
      </c>
      <c r="I191" s="505">
        <f t="shared" si="40"/>
        <v>1173.6345052994818</v>
      </c>
      <c r="J191" s="47">
        <f t="shared" si="55"/>
        <v>435609.04260402598</v>
      </c>
      <c r="K191" s="47">
        <f t="shared" si="56"/>
        <v>-40993.802187642948</v>
      </c>
    </row>
    <row r="192" spans="1:11">
      <c r="A192" s="137">
        <v>45169</v>
      </c>
      <c r="B192" s="3">
        <f t="shared" si="41"/>
        <v>1655.4560687843766</v>
      </c>
      <c r="C192" s="47">
        <f t="shared" si="50"/>
        <v>243352.04211130337</v>
      </c>
      <c r="D192" s="47">
        <f t="shared" si="51"/>
        <v>707149.05001369747</v>
      </c>
      <c r="E192" s="41">
        <f t="shared" si="52"/>
        <v>-79949.150177970529</v>
      </c>
      <c r="F192" s="140">
        <f t="shared" si="57"/>
        <v>-950501.0921250009</v>
      </c>
      <c r="G192" s="47">
        <f t="shared" si="53"/>
        <v>-243352.04211130337</v>
      </c>
      <c r="H192" s="52">
        <f t="shared" si="54"/>
        <v>79949.150177970529</v>
      </c>
      <c r="I192" s="505">
        <f t="shared" si="40"/>
        <v>1173.6345052994818</v>
      </c>
      <c r="J192" s="47">
        <f t="shared" si="55"/>
        <v>436782.67710932548</v>
      </c>
      <c r="K192" s="47">
        <f t="shared" si="56"/>
        <v>-39820.167682343468</v>
      </c>
    </row>
    <row r="193" spans="1:11">
      <c r="A193" s="137">
        <v>45199</v>
      </c>
      <c r="B193" s="3">
        <f t="shared" si="41"/>
        <v>1655.4560687843766</v>
      </c>
      <c r="C193" s="47">
        <f t="shared" si="50"/>
        <v>245007.49818008774</v>
      </c>
      <c r="D193" s="47">
        <f t="shared" si="51"/>
        <v>705493.59394491313</v>
      </c>
      <c r="E193" s="41">
        <f t="shared" si="52"/>
        <v>-80036.412187161506</v>
      </c>
      <c r="F193" s="140">
        <f t="shared" si="57"/>
        <v>-950501.0921250009</v>
      </c>
      <c r="G193" s="47">
        <f t="shared" si="53"/>
        <v>-245007.49818008774</v>
      </c>
      <c r="H193" s="52">
        <f t="shared" si="54"/>
        <v>80036.412187161506</v>
      </c>
      <c r="I193" s="505">
        <f t="shared" si="40"/>
        <v>1173.6345052994818</v>
      </c>
      <c r="J193" s="47">
        <f t="shared" si="55"/>
        <v>437956.31161462498</v>
      </c>
      <c r="K193" s="47">
        <f t="shared" si="56"/>
        <v>-38646.533177043988</v>
      </c>
    </row>
    <row r="194" spans="1:11">
      <c r="A194" s="137">
        <v>45230</v>
      </c>
      <c r="B194" s="3">
        <f t="shared" si="41"/>
        <v>1655.4560687843766</v>
      </c>
      <c r="C194" s="47">
        <f t="shared" si="50"/>
        <v>246662.95424887212</v>
      </c>
      <c r="D194" s="47">
        <f t="shared" si="51"/>
        <v>703838.13787612878</v>
      </c>
      <c r="E194" s="41">
        <f t="shared" si="52"/>
        <v>-80123.674196352498</v>
      </c>
      <c r="F194" s="140">
        <f t="shared" si="57"/>
        <v>-950501.0921250009</v>
      </c>
      <c r="G194" s="47">
        <f t="shared" si="53"/>
        <v>-246662.95424887212</v>
      </c>
      <c r="H194" s="52">
        <f t="shared" si="54"/>
        <v>80123.674196352498</v>
      </c>
      <c r="I194" s="505">
        <f t="shared" si="40"/>
        <v>1173.6345052994818</v>
      </c>
      <c r="J194" s="47">
        <f t="shared" si="55"/>
        <v>439129.94611992448</v>
      </c>
      <c r="K194" s="47">
        <f t="shared" si="56"/>
        <v>-37472.898671744508</v>
      </c>
    </row>
    <row r="195" spans="1:11">
      <c r="A195" s="137">
        <v>45260</v>
      </c>
      <c r="B195" s="3">
        <f t="shared" si="41"/>
        <v>1655.4560687843766</v>
      </c>
      <c r="C195" s="47">
        <f t="shared" si="50"/>
        <v>248318.4103176565</v>
      </c>
      <c r="D195" s="47">
        <f t="shared" si="51"/>
        <v>702182.68180734443</v>
      </c>
      <c r="E195" s="41">
        <f t="shared" si="52"/>
        <v>-80210.93620554349</v>
      </c>
      <c r="F195" s="140">
        <f t="shared" si="57"/>
        <v>-950501.0921250009</v>
      </c>
      <c r="G195" s="47">
        <f t="shared" si="53"/>
        <v>-248318.4103176565</v>
      </c>
      <c r="H195" s="52">
        <f t="shared" si="54"/>
        <v>80210.93620554349</v>
      </c>
      <c r="I195" s="505">
        <f t="shared" si="40"/>
        <v>1173.6345052994818</v>
      </c>
      <c r="J195" s="47">
        <f t="shared" si="55"/>
        <v>440303.58062522399</v>
      </c>
      <c r="K195" s="47">
        <f t="shared" si="56"/>
        <v>-36299.264166445028</v>
      </c>
    </row>
    <row r="196" spans="1:11">
      <c r="A196" s="137">
        <v>45291</v>
      </c>
      <c r="B196" s="3">
        <f t="shared" si="41"/>
        <v>1655.4560687843766</v>
      </c>
      <c r="C196" s="47">
        <f t="shared" si="50"/>
        <v>249973.86638644087</v>
      </c>
      <c r="D196" s="47">
        <f t="shared" si="51"/>
        <v>700527.22573856008</v>
      </c>
      <c r="E196" s="41">
        <f t="shared" si="52"/>
        <v>-80298.198214734453</v>
      </c>
      <c r="F196" s="140">
        <f t="shared" si="57"/>
        <v>-950501.0921250009</v>
      </c>
      <c r="G196" s="47">
        <f t="shared" si="53"/>
        <v>-249973.86638644087</v>
      </c>
      <c r="H196" s="52">
        <f t="shared" si="54"/>
        <v>80298.198214734453</v>
      </c>
      <c r="I196" s="505">
        <f t="shared" si="40"/>
        <v>1173.6345052994818</v>
      </c>
      <c r="J196" s="47">
        <f t="shared" si="55"/>
        <v>441477.21513052349</v>
      </c>
      <c r="K196" s="47">
        <f t="shared" si="56"/>
        <v>-35125.629661145547</v>
      </c>
    </row>
    <row r="197" spans="1:11">
      <c r="A197" s="137">
        <v>45322</v>
      </c>
      <c r="B197" s="3">
        <f t="shared" si="41"/>
        <v>1655.4560687843766</v>
      </c>
      <c r="C197" s="47">
        <f t="shared" si="50"/>
        <v>251629.32245522525</v>
      </c>
      <c r="D197" s="47">
        <f t="shared" si="51"/>
        <v>698871.76966977562</v>
      </c>
      <c r="E197" s="41">
        <f t="shared" si="52"/>
        <v>-80385.460223925431</v>
      </c>
      <c r="F197" s="140">
        <f t="shared" si="57"/>
        <v>-950501.0921250009</v>
      </c>
      <c r="G197" s="47">
        <f t="shared" si="53"/>
        <v>-251629.32245522525</v>
      </c>
      <c r="H197" s="52">
        <f t="shared" si="54"/>
        <v>80385.460223925431</v>
      </c>
      <c r="I197" s="505">
        <f t="shared" si="40"/>
        <v>1173.6345052994818</v>
      </c>
      <c r="J197" s="47">
        <f t="shared" si="55"/>
        <v>442650.84963582299</v>
      </c>
      <c r="K197" s="47">
        <f t="shared" si="56"/>
        <v>-33951.995155846067</v>
      </c>
    </row>
    <row r="198" spans="1:11">
      <c r="A198" s="137">
        <v>45351</v>
      </c>
      <c r="B198" s="3">
        <f t="shared" si="41"/>
        <v>1655.4560687843766</v>
      </c>
      <c r="C198" s="47">
        <f t="shared" si="50"/>
        <v>253284.77852400963</v>
      </c>
      <c r="D198" s="47">
        <f t="shared" si="51"/>
        <v>697216.31360099127</v>
      </c>
      <c r="E198" s="41">
        <f t="shared" si="52"/>
        <v>-80472.722233116423</v>
      </c>
      <c r="F198" s="140">
        <f t="shared" si="57"/>
        <v>-950501.0921250009</v>
      </c>
      <c r="G198" s="47">
        <f t="shared" si="53"/>
        <v>-253284.77852400963</v>
      </c>
      <c r="H198" s="52">
        <f t="shared" si="54"/>
        <v>80472.722233116423</v>
      </c>
      <c r="I198" s="505">
        <f t="shared" si="40"/>
        <v>1173.6345052994818</v>
      </c>
      <c r="J198" s="47">
        <f t="shared" si="55"/>
        <v>443824.48414112249</v>
      </c>
      <c r="K198" s="47">
        <f t="shared" si="56"/>
        <v>-32778.360650546587</v>
      </c>
    </row>
    <row r="199" spans="1:11">
      <c r="A199" s="137">
        <v>45382</v>
      </c>
      <c r="B199" s="3">
        <f t="shared" si="41"/>
        <v>1655.4560687843766</v>
      </c>
      <c r="C199" s="47">
        <f t="shared" si="50"/>
        <v>254940.234592794</v>
      </c>
      <c r="D199" s="47">
        <f t="shared" si="51"/>
        <v>695560.85753220692</v>
      </c>
      <c r="E199" s="41">
        <f t="shared" si="52"/>
        <v>-80559.984242307401</v>
      </c>
      <c r="F199" s="140">
        <f t="shared" si="57"/>
        <v>-950501.0921250009</v>
      </c>
      <c r="G199" s="47">
        <f t="shared" si="53"/>
        <v>-254940.234592794</v>
      </c>
      <c r="H199" s="52">
        <f t="shared" si="54"/>
        <v>80559.984242307401</v>
      </c>
      <c r="I199" s="505">
        <f t="shared" si="40"/>
        <v>1173.6345052994818</v>
      </c>
      <c r="J199" s="47">
        <f t="shared" si="55"/>
        <v>444998.11864642199</v>
      </c>
      <c r="K199" s="47">
        <f t="shared" si="56"/>
        <v>-31604.726145247107</v>
      </c>
    </row>
    <row r="200" spans="1:11">
      <c r="A200" s="137">
        <v>45412</v>
      </c>
      <c r="B200" s="3">
        <f t="shared" si="41"/>
        <v>1655.4560687843766</v>
      </c>
      <c r="C200" s="47">
        <f t="shared" si="50"/>
        <v>256595.69066157838</v>
      </c>
      <c r="D200" s="47">
        <f t="shared" si="51"/>
        <v>693905.40146342246</v>
      </c>
      <c r="E200" s="41">
        <f t="shared" si="52"/>
        <v>-80647.246251498378</v>
      </c>
      <c r="F200" s="140">
        <f t="shared" si="57"/>
        <v>-950501.0921250009</v>
      </c>
      <c r="G200" s="47">
        <f t="shared" si="53"/>
        <v>-256595.69066157838</v>
      </c>
      <c r="H200" s="52">
        <f t="shared" si="54"/>
        <v>80647.246251498378</v>
      </c>
      <c r="I200" s="505">
        <f t="shared" si="40"/>
        <v>1173.6345052994818</v>
      </c>
      <c r="J200" s="47">
        <f t="shared" si="55"/>
        <v>446171.7531517215</v>
      </c>
      <c r="K200" s="47">
        <f t="shared" si="56"/>
        <v>-30431.091639947626</v>
      </c>
    </row>
    <row r="201" spans="1:11">
      <c r="A201" s="137">
        <v>45443</v>
      </c>
      <c r="B201" s="3">
        <f t="shared" si="41"/>
        <v>1655.4560687843766</v>
      </c>
      <c r="C201" s="47">
        <f t="shared" si="50"/>
        <v>258251.14673036276</v>
      </c>
      <c r="D201" s="47">
        <f t="shared" si="51"/>
        <v>692249.94539463811</v>
      </c>
      <c r="E201" s="41">
        <f t="shared" si="52"/>
        <v>-80734.508260689356</v>
      </c>
      <c r="F201" s="140">
        <f t="shared" si="57"/>
        <v>-950501.0921250009</v>
      </c>
      <c r="G201" s="47">
        <f t="shared" si="53"/>
        <v>-258251.14673036276</v>
      </c>
      <c r="H201" s="52">
        <f t="shared" si="54"/>
        <v>80734.508260689356</v>
      </c>
      <c r="I201" s="505">
        <f t="shared" ref="I201:I220" si="58">+$B$40*0.02955/12</f>
        <v>1173.6345052994818</v>
      </c>
      <c r="J201" s="47">
        <f t="shared" si="55"/>
        <v>447345.387657021</v>
      </c>
      <c r="K201" s="47">
        <f t="shared" si="56"/>
        <v>-29257.457134648146</v>
      </c>
    </row>
    <row r="202" spans="1:11">
      <c r="A202" s="137">
        <v>45473</v>
      </c>
      <c r="B202" s="3">
        <f t="shared" si="41"/>
        <v>1655.4560687843766</v>
      </c>
      <c r="C202" s="47">
        <f t="shared" si="50"/>
        <v>259906.60279914713</v>
      </c>
      <c r="D202" s="47">
        <f t="shared" si="51"/>
        <v>690594.48932585376</v>
      </c>
      <c r="E202" s="41">
        <f t="shared" si="52"/>
        <v>-80821.770269880333</v>
      </c>
      <c r="F202" s="140">
        <f t="shared" si="57"/>
        <v>-950501.0921250009</v>
      </c>
      <c r="G202" s="47">
        <f t="shared" si="53"/>
        <v>-259906.60279914713</v>
      </c>
      <c r="H202" s="52">
        <f t="shared" si="54"/>
        <v>80821.770269880333</v>
      </c>
      <c r="I202" s="505">
        <f t="shared" si="58"/>
        <v>1173.6345052994818</v>
      </c>
      <c r="J202" s="47">
        <f t="shared" si="55"/>
        <v>448519.0221623205</v>
      </c>
      <c r="K202" s="47">
        <f t="shared" si="56"/>
        <v>-28083.822629348666</v>
      </c>
    </row>
    <row r="203" spans="1:11">
      <c r="A203" s="137">
        <v>45504</v>
      </c>
      <c r="B203" s="3">
        <f t="shared" si="41"/>
        <v>1655.4560687843766</v>
      </c>
      <c r="C203" s="47">
        <f t="shared" si="50"/>
        <v>261562.05886793151</v>
      </c>
      <c r="D203" s="47">
        <f t="shared" si="51"/>
        <v>688939.03325706942</v>
      </c>
      <c r="E203" s="41">
        <f t="shared" si="52"/>
        <v>-80909.032279071325</v>
      </c>
      <c r="F203" s="140">
        <f t="shared" si="57"/>
        <v>-950501.0921250009</v>
      </c>
      <c r="G203" s="47">
        <f t="shared" si="53"/>
        <v>-261562.05886793151</v>
      </c>
      <c r="H203" s="52">
        <f t="shared" si="54"/>
        <v>80909.032279071325</v>
      </c>
      <c r="I203" s="505">
        <f t="shared" si="58"/>
        <v>1173.6345052994818</v>
      </c>
      <c r="J203" s="47">
        <f t="shared" si="55"/>
        <v>449692.65666762</v>
      </c>
      <c r="K203" s="47">
        <f t="shared" si="56"/>
        <v>-26910.188124049186</v>
      </c>
    </row>
    <row r="204" spans="1:11">
      <c r="A204" s="137">
        <v>45535</v>
      </c>
      <c r="B204" s="3">
        <f t="shared" si="41"/>
        <v>1655.4560687843766</v>
      </c>
      <c r="C204" s="47">
        <f t="shared" si="50"/>
        <v>263217.51493671589</v>
      </c>
      <c r="D204" s="47">
        <f t="shared" si="51"/>
        <v>687283.57718828507</v>
      </c>
      <c r="E204" s="41">
        <f t="shared" si="52"/>
        <v>-80996.294288262317</v>
      </c>
      <c r="F204" s="140">
        <f t="shared" si="57"/>
        <v>-950501.0921250009</v>
      </c>
      <c r="G204" s="47">
        <f t="shared" si="53"/>
        <v>-263217.51493671589</v>
      </c>
      <c r="H204" s="52">
        <f t="shared" si="54"/>
        <v>80996.294288262317</v>
      </c>
      <c r="I204" s="505">
        <f t="shared" si="58"/>
        <v>1173.6345052994818</v>
      </c>
      <c r="J204" s="47">
        <f t="shared" si="55"/>
        <v>450866.2911729195</v>
      </c>
      <c r="K204" s="47">
        <f t="shared" si="56"/>
        <v>-25736.553618749705</v>
      </c>
    </row>
    <row r="205" spans="1:11">
      <c r="A205" s="137">
        <v>45565</v>
      </c>
      <c r="B205" s="3">
        <f t="shared" si="41"/>
        <v>1655.4560687843766</v>
      </c>
      <c r="C205" s="47">
        <f t="shared" si="50"/>
        <v>264872.97100550024</v>
      </c>
      <c r="D205" s="47">
        <f t="shared" si="51"/>
        <v>685628.1211195006</v>
      </c>
      <c r="E205" s="41">
        <f t="shared" si="52"/>
        <v>-81083.55629745328</v>
      </c>
      <c r="F205" s="140">
        <f t="shared" si="57"/>
        <v>-950501.0921250009</v>
      </c>
      <c r="G205" s="47">
        <f t="shared" si="53"/>
        <v>-264872.97100550024</v>
      </c>
      <c r="H205" s="52">
        <f t="shared" si="54"/>
        <v>81083.55629745328</v>
      </c>
      <c r="I205" s="505">
        <f t="shared" si="58"/>
        <v>1173.6345052994818</v>
      </c>
      <c r="J205" s="47">
        <f t="shared" si="55"/>
        <v>452039.92567821901</v>
      </c>
      <c r="K205" s="47">
        <f t="shared" si="56"/>
        <v>-24562.919113450225</v>
      </c>
    </row>
    <row r="206" spans="1:11">
      <c r="A206" s="137">
        <v>45596</v>
      </c>
      <c r="B206" s="3">
        <f t="shared" si="41"/>
        <v>1655.4560687843766</v>
      </c>
      <c r="C206" s="47">
        <f t="shared" si="50"/>
        <v>266528.42707428458</v>
      </c>
      <c r="D206" s="47">
        <f t="shared" si="51"/>
        <v>683972.66505071637</v>
      </c>
      <c r="E206" s="41">
        <f t="shared" si="52"/>
        <v>-81170.818306644273</v>
      </c>
      <c r="F206" s="140">
        <f t="shared" si="57"/>
        <v>-950501.0921250009</v>
      </c>
      <c r="G206" s="47">
        <f t="shared" si="53"/>
        <v>-266528.42707428458</v>
      </c>
      <c r="H206" s="52">
        <f t="shared" si="54"/>
        <v>81170.818306644273</v>
      </c>
      <c r="I206" s="505">
        <f t="shared" si="58"/>
        <v>1173.6345052994818</v>
      </c>
      <c r="J206" s="47">
        <f t="shared" si="55"/>
        <v>453213.56018351851</v>
      </c>
      <c r="K206" s="47">
        <f t="shared" si="56"/>
        <v>-23389.284608150745</v>
      </c>
    </row>
    <row r="207" spans="1:11">
      <c r="A207" s="137">
        <v>45626</v>
      </c>
      <c r="B207" s="3">
        <f t="shared" si="41"/>
        <v>1655.4560687843766</v>
      </c>
      <c r="C207" s="47">
        <f t="shared" si="50"/>
        <v>268183.88314306893</v>
      </c>
      <c r="D207" s="47">
        <f t="shared" si="51"/>
        <v>682317.20898193191</v>
      </c>
      <c r="E207" s="41">
        <f t="shared" si="52"/>
        <v>-81258.080315835236</v>
      </c>
      <c r="F207" s="140">
        <f t="shared" si="57"/>
        <v>-950501.0921250009</v>
      </c>
      <c r="G207" s="47">
        <f t="shared" si="53"/>
        <v>-268183.88314306893</v>
      </c>
      <c r="H207" s="52">
        <f t="shared" si="54"/>
        <v>81258.080315835236</v>
      </c>
      <c r="I207" s="505">
        <f t="shared" si="58"/>
        <v>1173.6345052994818</v>
      </c>
      <c r="J207" s="47">
        <f t="shared" si="55"/>
        <v>454387.19468881801</v>
      </c>
      <c r="K207" s="47">
        <f t="shared" si="56"/>
        <v>-22215.650102851265</v>
      </c>
    </row>
    <row r="208" spans="1:11">
      <c r="A208" s="137">
        <v>45657</v>
      </c>
      <c r="B208" s="3">
        <f t="shared" si="41"/>
        <v>1655.4560687843766</v>
      </c>
      <c r="C208" s="47">
        <f t="shared" si="50"/>
        <v>269839.33921185328</v>
      </c>
      <c r="D208" s="47">
        <f t="shared" si="51"/>
        <v>680661.75291314768</v>
      </c>
      <c r="E208" s="41">
        <f t="shared" si="52"/>
        <v>-81345.342325026257</v>
      </c>
      <c r="F208" s="140">
        <f t="shared" si="57"/>
        <v>-950501.0921250009</v>
      </c>
      <c r="G208" s="47">
        <f t="shared" si="53"/>
        <v>-269839.33921185328</v>
      </c>
      <c r="H208" s="52">
        <f t="shared" si="54"/>
        <v>81345.342325026257</v>
      </c>
      <c r="I208" s="505">
        <f t="shared" si="58"/>
        <v>1173.6345052994818</v>
      </c>
      <c r="J208" s="47">
        <f t="shared" si="55"/>
        <v>455560.82919411751</v>
      </c>
      <c r="K208" s="47">
        <f t="shared" si="56"/>
        <v>-21042.015597551785</v>
      </c>
    </row>
    <row r="209" spans="1:11">
      <c r="A209" s="137">
        <v>45688</v>
      </c>
      <c r="B209" s="3">
        <f t="shared" si="41"/>
        <v>1655.4560687843766</v>
      </c>
      <c r="C209" s="47">
        <f t="shared" ref="C209:C220" si="59">C208+B209</f>
        <v>271494.79528063763</v>
      </c>
      <c r="D209" s="47">
        <f t="shared" ref="D209:D220" si="60">$B$42-C209</f>
        <v>679006.29684436321</v>
      </c>
      <c r="E209" s="41">
        <f t="shared" ref="E209:E220" si="61">-(D209*$B$38/(+$B$38+$B$39)+K209)*0.254</f>
        <v>-81432.60433421722</v>
      </c>
      <c r="F209" s="140">
        <f t="shared" si="57"/>
        <v>-950501.0921250009</v>
      </c>
      <c r="G209" s="47">
        <f t="shared" ref="G209:G220" si="62">-C209</f>
        <v>-271494.79528063763</v>
      </c>
      <c r="H209" s="52">
        <f t="shared" ref="H209:H220" si="63">-E209</f>
        <v>81432.60433421722</v>
      </c>
      <c r="I209" s="505">
        <f t="shared" si="58"/>
        <v>1173.6345052994818</v>
      </c>
      <c r="J209" s="47">
        <f t="shared" ref="J209:J220" si="64">+I209+J208</f>
        <v>456734.46369941701</v>
      </c>
      <c r="K209" s="47">
        <f t="shared" ref="K209:K220" si="65">+K208+I209</f>
        <v>-19868.381092252304</v>
      </c>
    </row>
    <row r="210" spans="1:11">
      <c r="A210" s="137">
        <v>45716</v>
      </c>
      <c r="B210" s="3">
        <f t="shared" si="41"/>
        <v>1655.4560687843766</v>
      </c>
      <c r="C210" s="47">
        <f t="shared" si="59"/>
        <v>273150.25134942197</v>
      </c>
      <c r="D210" s="47">
        <f t="shared" si="60"/>
        <v>677350.84077557898</v>
      </c>
      <c r="E210" s="41">
        <f t="shared" si="61"/>
        <v>-81519.866343408212</v>
      </c>
      <c r="F210" s="140">
        <f t="shared" si="57"/>
        <v>-950501.0921250009</v>
      </c>
      <c r="G210" s="47">
        <f t="shared" si="62"/>
        <v>-273150.25134942197</v>
      </c>
      <c r="H210" s="52">
        <f t="shared" si="63"/>
        <v>81519.866343408212</v>
      </c>
      <c r="I210" s="505">
        <f t="shared" si="58"/>
        <v>1173.6345052994818</v>
      </c>
      <c r="J210" s="47">
        <f t="shared" si="64"/>
        <v>457908.09820471652</v>
      </c>
      <c r="K210" s="47">
        <f t="shared" si="65"/>
        <v>-18694.746586952824</v>
      </c>
    </row>
    <row r="211" spans="1:11">
      <c r="A211" s="137">
        <v>45747</v>
      </c>
      <c r="B211" s="3">
        <f t="shared" si="41"/>
        <v>1655.4560687843766</v>
      </c>
      <c r="C211" s="47">
        <f t="shared" si="59"/>
        <v>274805.70741820632</v>
      </c>
      <c r="D211" s="47">
        <f t="shared" si="60"/>
        <v>675695.38470679452</v>
      </c>
      <c r="E211" s="41">
        <f t="shared" si="61"/>
        <v>-81607.128352599189</v>
      </c>
      <c r="F211" s="140">
        <f t="shared" si="57"/>
        <v>-950501.0921250009</v>
      </c>
      <c r="G211" s="47">
        <f t="shared" si="62"/>
        <v>-274805.70741820632</v>
      </c>
      <c r="H211" s="52">
        <f t="shared" si="63"/>
        <v>81607.128352599189</v>
      </c>
      <c r="I211" s="505">
        <f t="shared" si="58"/>
        <v>1173.6345052994818</v>
      </c>
      <c r="J211" s="47">
        <f t="shared" si="64"/>
        <v>459081.73271001602</v>
      </c>
      <c r="K211" s="47">
        <f t="shared" si="65"/>
        <v>-17521.112081653344</v>
      </c>
    </row>
    <row r="212" spans="1:11">
      <c r="A212" s="137">
        <v>45777</v>
      </c>
      <c r="B212" s="3">
        <f t="shared" si="41"/>
        <v>1655.4560687843766</v>
      </c>
      <c r="C212" s="47">
        <f t="shared" si="59"/>
        <v>276461.16348699067</v>
      </c>
      <c r="D212" s="47">
        <f t="shared" si="60"/>
        <v>674039.92863801029</v>
      </c>
      <c r="E212" s="41">
        <f t="shared" si="61"/>
        <v>-81694.390361790167</v>
      </c>
      <c r="F212" s="140">
        <f t="shared" si="57"/>
        <v>-950501.0921250009</v>
      </c>
      <c r="G212" s="47">
        <f t="shared" si="62"/>
        <v>-276461.16348699067</v>
      </c>
      <c r="H212" s="52">
        <f t="shared" si="63"/>
        <v>81694.390361790167</v>
      </c>
      <c r="I212" s="505">
        <f t="shared" si="58"/>
        <v>1173.6345052994818</v>
      </c>
      <c r="J212" s="47">
        <f t="shared" si="64"/>
        <v>460255.36721531552</v>
      </c>
      <c r="K212" s="47">
        <f t="shared" si="65"/>
        <v>-16347.477576353862</v>
      </c>
    </row>
    <row r="213" spans="1:11">
      <c r="A213" s="137">
        <v>45808</v>
      </c>
      <c r="B213" s="3">
        <f t="shared" ref="B213:B220" si="66">$B$42*$B$43/12</f>
        <v>1655.4560687843766</v>
      </c>
      <c r="C213" s="47">
        <f t="shared" si="59"/>
        <v>278116.61955577502</v>
      </c>
      <c r="D213" s="47">
        <f t="shared" si="60"/>
        <v>672384.47256922582</v>
      </c>
      <c r="E213" s="41">
        <f t="shared" si="61"/>
        <v>-81781.652370981159</v>
      </c>
      <c r="F213" s="140">
        <f t="shared" si="57"/>
        <v>-950501.0921250009</v>
      </c>
      <c r="G213" s="47">
        <f t="shared" si="62"/>
        <v>-278116.61955577502</v>
      </c>
      <c r="H213" s="52">
        <f t="shared" si="63"/>
        <v>81781.652370981159</v>
      </c>
      <c r="I213" s="505">
        <f t="shared" si="58"/>
        <v>1173.6345052994818</v>
      </c>
      <c r="J213" s="47">
        <f t="shared" si="64"/>
        <v>461429.00172061502</v>
      </c>
      <c r="K213" s="47">
        <f t="shared" si="65"/>
        <v>-15173.84307105438</v>
      </c>
    </row>
    <row r="214" spans="1:11">
      <c r="A214" s="137">
        <v>45838</v>
      </c>
      <c r="B214" s="3">
        <f t="shared" si="66"/>
        <v>1655.4560687843766</v>
      </c>
      <c r="C214" s="47">
        <f t="shared" si="59"/>
        <v>279772.07562455937</v>
      </c>
      <c r="D214" s="47">
        <f t="shared" si="60"/>
        <v>670729.01650044159</v>
      </c>
      <c r="E214" s="41">
        <f t="shared" si="61"/>
        <v>-81868.914380172166</v>
      </c>
      <c r="F214" s="140">
        <f t="shared" si="57"/>
        <v>-950501.0921250009</v>
      </c>
      <c r="G214" s="47">
        <f t="shared" si="62"/>
        <v>-279772.07562455937</v>
      </c>
      <c r="H214" s="52">
        <f t="shared" si="63"/>
        <v>81868.914380172166</v>
      </c>
      <c r="I214" s="505">
        <f t="shared" si="58"/>
        <v>1173.6345052994818</v>
      </c>
      <c r="J214" s="47">
        <f t="shared" si="64"/>
        <v>462602.63622591452</v>
      </c>
      <c r="K214" s="47">
        <f t="shared" si="65"/>
        <v>-14000.208565754898</v>
      </c>
    </row>
    <row r="215" spans="1:11">
      <c r="A215" s="137">
        <v>45869</v>
      </c>
      <c r="B215" s="3">
        <f t="shared" si="66"/>
        <v>1655.4560687843766</v>
      </c>
      <c r="C215" s="47">
        <f t="shared" si="59"/>
        <v>281427.53169334371</v>
      </c>
      <c r="D215" s="47">
        <f t="shared" si="60"/>
        <v>669073.56043165713</v>
      </c>
      <c r="E215" s="41">
        <f t="shared" si="61"/>
        <v>-81956.176389363114</v>
      </c>
      <c r="F215" s="140">
        <f t="shared" si="57"/>
        <v>-950501.0921250009</v>
      </c>
      <c r="G215" s="47">
        <f t="shared" si="62"/>
        <v>-281427.53169334371</v>
      </c>
      <c r="H215" s="52">
        <f t="shared" si="63"/>
        <v>81956.176389363114</v>
      </c>
      <c r="I215" s="505">
        <f t="shared" si="58"/>
        <v>1173.6345052994818</v>
      </c>
      <c r="J215" s="47">
        <f t="shared" si="64"/>
        <v>463776.27073121403</v>
      </c>
      <c r="K215" s="47">
        <f t="shared" si="65"/>
        <v>-12826.574060455416</v>
      </c>
    </row>
    <row r="216" spans="1:11">
      <c r="A216" s="137">
        <v>45900</v>
      </c>
      <c r="B216" s="3">
        <f t="shared" si="66"/>
        <v>1655.4560687843766</v>
      </c>
      <c r="C216" s="47">
        <f t="shared" si="59"/>
        <v>283082.98776212806</v>
      </c>
      <c r="D216" s="47">
        <f t="shared" si="60"/>
        <v>667418.10436287289</v>
      </c>
      <c r="E216" s="41">
        <f t="shared" si="61"/>
        <v>-82043.438398554121</v>
      </c>
      <c r="F216" s="140">
        <f t="shared" si="57"/>
        <v>-950501.0921250009</v>
      </c>
      <c r="G216" s="47">
        <f t="shared" si="62"/>
        <v>-283082.98776212806</v>
      </c>
      <c r="H216" s="52">
        <f t="shared" si="63"/>
        <v>82043.438398554121</v>
      </c>
      <c r="I216" s="505">
        <f t="shared" si="58"/>
        <v>1173.6345052994818</v>
      </c>
      <c r="J216" s="47">
        <f t="shared" si="64"/>
        <v>464949.90523651353</v>
      </c>
      <c r="K216" s="47">
        <f t="shared" si="65"/>
        <v>-11652.939555155934</v>
      </c>
    </row>
    <row r="217" spans="1:11">
      <c r="A217" s="137">
        <v>45930</v>
      </c>
      <c r="B217" s="3">
        <f t="shared" si="66"/>
        <v>1655.4560687843766</v>
      </c>
      <c r="C217" s="47">
        <f t="shared" si="59"/>
        <v>284738.44383091241</v>
      </c>
      <c r="D217" s="47">
        <f t="shared" si="60"/>
        <v>665762.64829408843</v>
      </c>
      <c r="E217" s="41">
        <f t="shared" si="61"/>
        <v>-82130.700407745113</v>
      </c>
      <c r="F217" s="140">
        <f t="shared" si="57"/>
        <v>-950501.0921250009</v>
      </c>
      <c r="G217" s="47">
        <f t="shared" si="62"/>
        <v>-284738.44383091241</v>
      </c>
      <c r="H217" s="52">
        <f t="shared" si="63"/>
        <v>82130.700407745113</v>
      </c>
      <c r="I217" s="505">
        <f t="shared" si="58"/>
        <v>1173.6345052994818</v>
      </c>
      <c r="J217" s="47">
        <f t="shared" si="64"/>
        <v>466123.53974181303</v>
      </c>
      <c r="K217" s="47">
        <f t="shared" si="65"/>
        <v>-10479.305049856452</v>
      </c>
    </row>
    <row r="218" spans="1:11">
      <c r="A218" s="137">
        <v>45961</v>
      </c>
      <c r="B218" s="3">
        <f t="shared" si="66"/>
        <v>1655.4560687843766</v>
      </c>
      <c r="C218" s="47">
        <f t="shared" si="59"/>
        <v>286393.89989969676</v>
      </c>
      <c r="D218" s="47">
        <f t="shared" si="60"/>
        <v>664107.1922253042</v>
      </c>
      <c r="E218" s="41">
        <f t="shared" si="61"/>
        <v>-82217.96241693609</v>
      </c>
      <c r="F218" s="140">
        <f t="shared" si="57"/>
        <v>-950501.0921250009</v>
      </c>
      <c r="G218" s="47">
        <f t="shared" si="62"/>
        <v>-286393.89989969676</v>
      </c>
      <c r="H218" s="52">
        <f t="shared" si="63"/>
        <v>82217.96241693609</v>
      </c>
      <c r="I218" s="505">
        <f t="shared" si="58"/>
        <v>1173.6345052994818</v>
      </c>
      <c r="J218" s="47">
        <f t="shared" si="64"/>
        <v>467297.17424711253</v>
      </c>
      <c r="K218" s="47">
        <f t="shared" si="65"/>
        <v>-9305.6705445569696</v>
      </c>
    </row>
    <row r="219" spans="1:11">
      <c r="A219" s="137">
        <v>45991</v>
      </c>
      <c r="B219" s="3">
        <f t="shared" si="66"/>
        <v>1655.4560687843766</v>
      </c>
      <c r="C219" s="47">
        <f t="shared" si="59"/>
        <v>288049.3559684811</v>
      </c>
      <c r="D219" s="47">
        <f t="shared" si="60"/>
        <v>662451.73615651974</v>
      </c>
      <c r="E219" s="41">
        <f t="shared" si="61"/>
        <v>-82305.224426127068</v>
      </c>
      <c r="F219" s="140">
        <f t="shared" si="57"/>
        <v>-950501.0921250009</v>
      </c>
      <c r="G219" s="47">
        <f t="shared" si="62"/>
        <v>-288049.3559684811</v>
      </c>
      <c r="H219" s="52">
        <f t="shared" si="63"/>
        <v>82305.224426127068</v>
      </c>
      <c r="I219" s="505">
        <f t="shared" si="58"/>
        <v>1173.6345052994818</v>
      </c>
      <c r="J219" s="47">
        <f t="shared" si="64"/>
        <v>468470.80875241203</v>
      </c>
      <c r="K219" s="47">
        <f t="shared" si="65"/>
        <v>-8132.0360392574876</v>
      </c>
    </row>
    <row r="220" spans="1:11">
      <c r="A220" s="137">
        <v>46022</v>
      </c>
      <c r="B220" s="3">
        <f t="shared" si="66"/>
        <v>1655.4560687843766</v>
      </c>
      <c r="C220" s="47">
        <f t="shared" si="59"/>
        <v>289704.81203726545</v>
      </c>
      <c r="D220" s="47">
        <f t="shared" si="60"/>
        <v>660796.2800877355</v>
      </c>
      <c r="E220" s="41">
        <f t="shared" si="61"/>
        <v>-82392.48643531806</v>
      </c>
      <c r="F220" s="140">
        <f t="shared" si="57"/>
        <v>-950501.0921250009</v>
      </c>
      <c r="G220" s="47">
        <f t="shared" si="62"/>
        <v>-289704.81203726545</v>
      </c>
      <c r="H220" s="52">
        <f t="shared" si="63"/>
        <v>82392.48643531806</v>
      </c>
      <c r="I220" s="505">
        <f t="shared" si="58"/>
        <v>1173.6345052994818</v>
      </c>
      <c r="J220" s="47">
        <f t="shared" si="64"/>
        <v>469644.44325771154</v>
      </c>
      <c r="K220" s="47">
        <f t="shared" si="65"/>
        <v>-6958.4015339580055</v>
      </c>
    </row>
    <row r="221" spans="1:11">
      <c r="A221" s="137"/>
      <c r="F221" s="9"/>
      <c r="H221" s="11"/>
    </row>
    <row r="222" spans="1:11">
      <c r="F222" s="135" t="s">
        <v>972</v>
      </c>
      <c r="G222" s="86" t="s">
        <v>973</v>
      </c>
      <c r="H222" s="138" t="s">
        <v>974</v>
      </c>
    </row>
    <row r="223" spans="1:11">
      <c r="F223" s="135" t="s">
        <v>976</v>
      </c>
      <c r="G223" s="86" t="s">
        <v>976</v>
      </c>
      <c r="H223" s="138" t="s">
        <v>976</v>
      </c>
    </row>
    <row r="224" spans="1:11" ht="30">
      <c r="A224" s="86" t="s">
        <v>987</v>
      </c>
      <c r="B224" s="223" t="s">
        <v>983</v>
      </c>
      <c r="C224" s="190" t="s">
        <v>984</v>
      </c>
      <c r="D224" s="190" t="s">
        <v>985</v>
      </c>
      <c r="E224" s="190" t="s">
        <v>986</v>
      </c>
      <c r="F224" s="9"/>
      <c r="H224" s="11"/>
      <c r="I224" s="190" t="s">
        <v>1180</v>
      </c>
      <c r="J224" s="190" t="s">
        <v>1181</v>
      </c>
      <c r="K224" s="353" t="s">
        <v>1182</v>
      </c>
    </row>
    <row r="225" spans="1:11">
      <c r="A225" s="137">
        <v>40908</v>
      </c>
      <c r="B225" s="47">
        <v>-1341307</v>
      </c>
      <c r="C225" s="47">
        <f>-B225*$C$5/12</f>
        <v>2336.1096916666665</v>
      </c>
      <c r="D225" s="47">
        <f>+B225+C225</f>
        <v>-1338970.8903083333</v>
      </c>
      <c r="E225" s="41">
        <f>(-D225+K225)*0.3959</f>
        <v>277862.44085556915</v>
      </c>
      <c r="F225" s="140">
        <f>B225</f>
        <v>-1341307</v>
      </c>
      <c r="G225" s="47">
        <f>-C225</f>
        <v>-2336.1096916666665</v>
      </c>
      <c r="H225" s="52">
        <f t="shared" ref="H225:H284" si="67">E225</f>
        <v>277862.44085556915</v>
      </c>
      <c r="I225" s="192">
        <f>+$B$225*0.525</f>
        <v>-704186.17500000005</v>
      </c>
      <c r="J225" s="47">
        <f>+I225</f>
        <v>-704186.17500000005</v>
      </c>
      <c r="K225" s="47">
        <f>+B225-I225</f>
        <v>-637120.82499999995</v>
      </c>
    </row>
    <row r="226" spans="1:11">
      <c r="A226" s="137">
        <v>40939</v>
      </c>
      <c r="B226" s="47">
        <v>-1341307</v>
      </c>
      <c r="C226" s="47">
        <f>-B226*$C$5/12+C225</f>
        <v>4672.2193833333331</v>
      </c>
      <c r="D226" s="47">
        <f t="shared" ref="D226:D284" si="68">+B226+C226</f>
        <v>-1336634.7806166667</v>
      </c>
      <c r="E226" s="41">
        <f t="shared" ref="E226:E249" si="69">(-D226+K226)*0.3959</f>
        <v>279039.54281711747</v>
      </c>
      <c r="F226" s="140">
        <f t="shared" ref="F226:F284" si="70">B226</f>
        <v>-1341307</v>
      </c>
      <c r="G226" s="47">
        <f t="shared" ref="G226:G284" si="71">-C226</f>
        <v>-4672.2193833333331</v>
      </c>
      <c r="H226" s="52">
        <f t="shared" si="67"/>
        <v>279039.54281711747</v>
      </c>
      <c r="I226" s="192">
        <f>+$B$225*0.0475/12</f>
        <v>-5309.340208333334</v>
      </c>
      <c r="J226" s="47">
        <f t="shared" ref="J226:J284" si="72">+I226+J225</f>
        <v>-709495.51520833338</v>
      </c>
      <c r="K226" s="47">
        <f>+K225-I226</f>
        <v>-631811.48479166662</v>
      </c>
    </row>
    <row r="227" spans="1:11">
      <c r="A227" s="137">
        <v>40968</v>
      </c>
      <c r="B227" s="47">
        <v>-1341307</v>
      </c>
      <c r="C227" s="47">
        <f t="shared" ref="C227:C284" si="73">-B227*$C$5/12+C226</f>
        <v>7008.3290749999996</v>
      </c>
      <c r="D227" s="47">
        <f t="shared" si="68"/>
        <v>-1334298.670925</v>
      </c>
      <c r="E227" s="41">
        <f t="shared" si="69"/>
        <v>280216.64477866585</v>
      </c>
      <c r="F227" s="140">
        <f t="shared" si="70"/>
        <v>-1341307</v>
      </c>
      <c r="G227" s="47">
        <f t="shared" si="71"/>
        <v>-7008.3290749999996</v>
      </c>
      <c r="H227" s="52">
        <f t="shared" si="67"/>
        <v>280216.64477866585</v>
      </c>
      <c r="I227" s="192">
        <f t="shared" ref="I227:I237" si="74">+$B$225*0.0475/12</f>
        <v>-5309.340208333334</v>
      </c>
      <c r="J227" s="47">
        <f t="shared" si="72"/>
        <v>-714804.85541666672</v>
      </c>
      <c r="K227" s="47">
        <f t="shared" ref="K227:K284" si="75">+K226-I227</f>
        <v>-626502.14458333328</v>
      </c>
    </row>
    <row r="228" spans="1:11">
      <c r="A228" s="137">
        <v>40999</v>
      </c>
      <c r="B228" s="47">
        <v>-1341307</v>
      </c>
      <c r="C228" s="47">
        <f t="shared" si="73"/>
        <v>9344.4387666666662</v>
      </c>
      <c r="D228" s="47">
        <f t="shared" si="68"/>
        <v>-1331962.5612333333</v>
      </c>
      <c r="E228" s="41">
        <f t="shared" si="69"/>
        <v>281393.74674021418</v>
      </c>
      <c r="F228" s="140">
        <f t="shared" si="70"/>
        <v>-1341307</v>
      </c>
      <c r="G228" s="47">
        <f t="shared" si="71"/>
        <v>-9344.4387666666662</v>
      </c>
      <c r="H228" s="52">
        <f t="shared" si="67"/>
        <v>281393.74674021418</v>
      </c>
      <c r="I228" s="192">
        <f t="shared" si="74"/>
        <v>-5309.340208333334</v>
      </c>
      <c r="J228" s="47">
        <f t="shared" si="72"/>
        <v>-720114.19562500005</v>
      </c>
      <c r="K228" s="47">
        <f t="shared" si="75"/>
        <v>-621192.80437499995</v>
      </c>
    </row>
    <row r="229" spans="1:11">
      <c r="A229" s="137">
        <v>41029</v>
      </c>
      <c r="B229" s="47">
        <v>-1341307</v>
      </c>
      <c r="C229" s="47">
        <f t="shared" si="73"/>
        <v>11680.548458333333</v>
      </c>
      <c r="D229" s="47">
        <f t="shared" si="68"/>
        <v>-1329626.4515416666</v>
      </c>
      <c r="E229" s="41">
        <f t="shared" si="69"/>
        <v>282570.8487017625</v>
      </c>
      <c r="F229" s="140">
        <f t="shared" si="70"/>
        <v>-1341307</v>
      </c>
      <c r="G229" s="47">
        <f t="shared" si="71"/>
        <v>-11680.548458333333</v>
      </c>
      <c r="H229" s="52">
        <f t="shared" si="67"/>
        <v>282570.8487017625</v>
      </c>
      <c r="I229" s="192">
        <f t="shared" si="74"/>
        <v>-5309.340208333334</v>
      </c>
      <c r="J229" s="47">
        <f t="shared" si="72"/>
        <v>-725423.53583333339</v>
      </c>
      <c r="K229" s="47">
        <f t="shared" si="75"/>
        <v>-615883.46416666661</v>
      </c>
    </row>
    <row r="230" spans="1:11">
      <c r="A230" s="137">
        <v>41060</v>
      </c>
      <c r="B230" s="47">
        <v>-1341307</v>
      </c>
      <c r="C230" s="47">
        <f t="shared" si="73"/>
        <v>14016.658149999999</v>
      </c>
      <c r="D230" s="47">
        <f t="shared" si="68"/>
        <v>-1327290.34185</v>
      </c>
      <c r="E230" s="41">
        <f t="shared" si="69"/>
        <v>283747.95066331082</v>
      </c>
      <c r="F230" s="140">
        <f t="shared" si="70"/>
        <v>-1341307</v>
      </c>
      <c r="G230" s="47">
        <f t="shared" si="71"/>
        <v>-14016.658149999999</v>
      </c>
      <c r="H230" s="52">
        <f t="shared" si="67"/>
        <v>283747.95066331082</v>
      </c>
      <c r="I230" s="192">
        <f t="shared" si="74"/>
        <v>-5309.340208333334</v>
      </c>
      <c r="J230" s="47">
        <f t="shared" si="72"/>
        <v>-730732.87604166672</v>
      </c>
      <c r="K230" s="47">
        <f t="shared" si="75"/>
        <v>-610574.12395833328</v>
      </c>
    </row>
    <row r="231" spans="1:11">
      <c r="A231" s="137">
        <v>41090</v>
      </c>
      <c r="B231" s="47">
        <v>-1341307</v>
      </c>
      <c r="C231" s="47">
        <f t="shared" si="73"/>
        <v>16352.767841666666</v>
      </c>
      <c r="D231" s="47">
        <f t="shared" si="68"/>
        <v>-1324954.2321583333</v>
      </c>
      <c r="E231" s="41">
        <f t="shared" si="69"/>
        <v>284925.05262485915</v>
      </c>
      <c r="F231" s="140">
        <f t="shared" si="70"/>
        <v>-1341307</v>
      </c>
      <c r="G231" s="47">
        <f t="shared" si="71"/>
        <v>-16352.767841666666</v>
      </c>
      <c r="H231" s="52">
        <f t="shared" si="67"/>
        <v>284925.05262485915</v>
      </c>
      <c r="I231" s="192">
        <f t="shared" si="74"/>
        <v>-5309.340208333334</v>
      </c>
      <c r="J231" s="47">
        <f t="shared" si="72"/>
        <v>-736042.21625000006</v>
      </c>
      <c r="K231" s="47">
        <f t="shared" si="75"/>
        <v>-605264.78374999994</v>
      </c>
    </row>
    <row r="232" spans="1:11">
      <c r="A232" s="137">
        <v>41121</v>
      </c>
      <c r="B232" s="47">
        <v>-1341307</v>
      </c>
      <c r="C232" s="47">
        <f t="shared" si="73"/>
        <v>18688.877533333332</v>
      </c>
      <c r="D232" s="47">
        <f t="shared" si="68"/>
        <v>-1322618.1224666666</v>
      </c>
      <c r="E232" s="41">
        <f t="shared" si="69"/>
        <v>286102.15458640747</v>
      </c>
      <c r="F232" s="140">
        <f t="shared" si="70"/>
        <v>-1341307</v>
      </c>
      <c r="G232" s="47">
        <f t="shared" si="71"/>
        <v>-18688.877533333332</v>
      </c>
      <c r="H232" s="52">
        <f t="shared" si="67"/>
        <v>286102.15458640747</v>
      </c>
      <c r="I232" s="192">
        <f t="shared" si="74"/>
        <v>-5309.340208333334</v>
      </c>
      <c r="J232" s="47">
        <f t="shared" si="72"/>
        <v>-741351.55645833339</v>
      </c>
      <c r="K232" s="47">
        <f t="shared" si="75"/>
        <v>-599955.44354166661</v>
      </c>
    </row>
    <row r="233" spans="1:11">
      <c r="A233" s="137">
        <v>41152</v>
      </c>
      <c r="B233" s="47">
        <v>-1341307</v>
      </c>
      <c r="C233" s="47">
        <f t="shared" si="73"/>
        <v>21024.987224999997</v>
      </c>
      <c r="D233" s="47">
        <f t="shared" si="68"/>
        <v>-1320282.012775</v>
      </c>
      <c r="E233" s="41">
        <f t="shared" si="69"/>
        <v>287279.2565479558</v>
      </c>
      <c r="F233" s="140">
        <f t="shared" si="70"/>
        <v>-1341307</v>
      </c>
      <c r="G233" s="47">
        <f t="shared" si="71"/>
        <v>-21024.987224999997</v>
      </c>
      <c r="H233" s="52">
        <f t="shared" si="67"/>
        <v>287279.2565479558</v>
      </c>
      <c r="I233" s="192">
        <f t="shared" si="74"/>
        <v>-5309.340208333334</v>
      </c>
      <c r="J233" s="47">
        <f t="shared" si="72"/>
        <v>-746660.89666666673</v>
      </c>
      <c r="K233" s="47">
        <f t="shared" si="75"/>
        <v>-594646.10333333327</v>
      </c>
    </row>
    <row r="234" spans="1:11">
      <c r="A234" s="137">
        <v>41182</v>
      </c>
      <c r="B234" s="47">
        <v>-1341307</v>
      </c>
      <c r="C234" s="47">
        <f t="shared" si="73"/>
        <v>23361.096916666662</v>
      </c>
      <c r="D234" s="47">
        <f t="shared" si="68"/>
        <v>-1317945.9030833333</v>
      </c>
      <c r="E234" s="41">
        <f t="shared" si="69"/>
        <v>288456.35850950418</v>
      </c>
      <c r="F234" s="140">
        <f t="shared" si="70"/>
        <v>-1341307</v>
      </c>
      <c r="G234" s="47">
        <f t="shared" si="71"/>
        <v>-23361.096916666662</v>
      </c>
      <c r="H234" s="52">
        <f t="shared" si="67"/>
        <v>288456.35850950418</v>
      </c>
      <c r="I234" s="192">
        <f t="shared" si="74"/>
        <v>-5309.340208333334</v>
      </c>
      <c r="J234" s="47">
        <f t="shared" si="72"/>
        <v>-751970.23687500006</v>
      </c>
      <c r="K234" s="47">
        <f t="shared" si="75"/>
        <v>-589336.76312499994</v>
      </c>
    </row>
    <row r="235" spans="1:11">
      <c r="A235" s="137">
        <v>41213</v>
      </c>
      <c r="B235" s="47">
        <v>-1341307</v>
      </c>
      <c r="C235" s="47">
        <f t="shared" si="73"/>
        <v>25697.206608333327</v>
      </c>
      <c r="D235" s="47">
        <f t="shared" si="68"/>
        <v>-1315609.7933916666</v>
      </c>
      <c r="E235" s="41">
        <f t="shared" si="69"/>
        <v>289633.4604710525</v>
      </c>
      <c r="F235" s="140">
        <f t="shared" si="70"/>
        <v>-1341307</v>
      </c>
      <c r="G235" s="47">
        <f t="shared" si="71"/>
        <v>-25697.206608333327</v>
      </c>
      <c r="H235" s="52">
        <f t="shared" si="67"/>
        <v>289633.4604710525</v>
      </c>
      <c r="I235" s="192">
        <f t="shared" si="74"/>
        <v>-5309.340208333334</v>
      </c>
      <c r="J235" s="47">
        <f t="shared" si="72"/>
        <v>-757279.5770833334</v>
      </c>
      <c r="K235" s="47">
        <f t="shared" si="75"/>
        <v>-584027.4229166666</v>
      </c>
    </row>
    <row r="236" spans="1:11">
      <c r="A236" s="137">
        <v>41243</v>
      </c>
      <c r="B236" s="47">
        <v>-1341307</v>
      </c>
      <c r="C236" s="47">
        <f t="shared" si="73"/>
        <v>28033.316299999991</v>
      </c>
      <c r="D236" s="47">
        <f t="shared" si="68"/>
        <v>-1313273.6836999999</v>
      </c>
      <c r="E236" s="41">
        <f t="shared" si="69"/>
        <v>290810.56243260083</v>
      </c>
      <c r="F236" s="140">
        <f t="shared" si="70"/>
        <v>-1341307</v>
      </c>
      <c r="G236" s="47">
        <f t="shared" si="71"/>
        <v>-28033.316299999991</v>
      </c>
      <c r="H236" s="52">
        <f t="shared" si="67"/>
        <v>290810.56243260083</v>
      </c>
      <c r="I236" s="192">
        <f t="shared" si="74"/>
        <v>-5309.340208333334</v>
      </c>
      <c r="J236" s="47">
        <f t="shared" si="72"/>
        <v>-762588.91729166673</v>
      </c>
      <c r="K236" s="47">
        <f t="shared" si="75"/>
        <v>-578718.08270833327</v>
      </c>
    </row>
    <row r="237" spans="1:11">
      <c r="A237" s="137">
        <v>41274</v>
      </c>
      <c r="B237" s="47">
        <v>-1341307</v>
      </c>
      <c r="C237" s="47">
        <f t="shared" si="73"/>
        <v>30369.425991666656</v>
      </c>
      <c r="D237" s="47">
        <f t="shared" si="68"/>
        <v>-1310937.5740083333</v>
      </c>
      <c r="E237" s="41">
        <f t="shared" si="69"/>
        <v>291987.66439414915</v>
      </c>
      <c r="F237" s="140">
        <f t="shared" si="70"/>
        <v>-1341307</v>
      </c>
      <c r="G237" s="47">
        <f t="shared" si="71"/>
        <v>-30369.425991666656</v>
      </c>
      <c r="H237" s="52">
        <f t="shared" si="67"/>
        <v>291987.66439414915</v>
      </c>
      <c r="I237" s="192">
        <f t="shared" si="74"/>
        <v>-5309.340208333334</v>
      </c>
      <c r="J237" s="47">
        <f t="shared" si="72"/>
        <v>-767898.25750000007</v>
      </c>
      <c r="K237" s="47">
        <f t="shared" si="75"/>
        <v>-573408.74249999993</v>
      </c>
    </row>
    <row r="238" spans="1:11">
      <c r="A238" s="137">
        <v>41305</v>
      </c>
      <c r="B238" s="47">
        <v>-1341307</v>
      </c>
      <c r="C238" s="47">
        <f t="shared" si="73"/>
        <v>32705.535683333321</v>
      </c>
      <c r="D238" s="47">
        <f t="shared" si="68"/>
        <v>-1308601.4643166666</v>
      </c>
      <c r="E238" s="41">
        <f t="shared" si="69"/>
        <v>292954.56957684958</v>
      </c>
      <c r="F238" s="140">
        <f t="shared" si="70"/>
        <v>-1341307</v>
      </c>
      <c r="G238" s="47">
        <f t="shared" si="71"/>
        <v>-32705.535683333321</v>
      </c>
      <c r="H238" s="52">
        <f t="shared" si="67"/>
        <v>292954.56957684958</v>
      </c>
      <c r="I238" s="505">
        <f t="shared" ref="I238:I249" si="76">+$B$225*0.04275/12</f>
        <v>-4778.4061875000007</v>
      </c>
      <c r="J238" s="47">
        <f t="shared" si="72"/>
        <v>-772676.66368750005</v>
      </c>
      <c r="K238" s="47">
        <f t="shared" si="75"/>
        <v>-568630.33631249995</v>
      </c>
    </row>
    <row r="239" spans="1:11">
      <c r="A239" s="137">
        <v>41333</v>
      </c>
      <c r="B239" s="47">
        <v>-1341307</v>
      </c>
      <c r="C239" s="47">
        <f t="shared" si="73"/>
        <v>35041.645374999986</v>
      </c>
      <c r="D239" s="47">
        <f t="shared" si="68"/>
        <v>-1306265.3546249999</v>
      </c>
      <c r="E239" s="41">
        <f t="shared" si="69"/>
        <v>293921.47475954995</v>
      </c>
      <c r="F239" s="140">
        <f t="shared" si="70"/>
        <v>-1341307</v>
      </c>
      <c r="G239" s="47">
        <f t="shared" si="71"/>
        <v>-35041.645374999986</v>
      </c>
      <c r="H239" s="52">
        <f t="shared" si="67"/>
        <v>293921.47475954995</v>
      </c>
      <c r="I239" s="505">
        <f t="shared" si="76"/>
        <v>-4778.4061875000007</v>
      </c>
      <c r="J239" s="47">
        <f t="shared" si="72"/>
        <v>-777455.06987500004</v>
      </c>
      <c r="K239" s="47">
        <f t="shared" si="75"/>
        <v>-563851.93012499996</v>
      </c>
    </row>
    <row r="240" spans="1:11">
      <c r="A240" s="137">
        <v>41364</v>
      </c>
      <c r="B240" s="47">
        <v>-1341307</v>
      </c>
      <c r="C240" s="47">
        <f t="shared" si="73"/>
        <v>37377.75506666665</v>
      </c>
      <c r="D240" s="47">
        <f t="shared" si="68"/>
        <v>-1303929.2449333332</v>
      </c>
      <c r="E240" s="41">
        <f t="shared" si="69"/>
        <v>294888.37994225038</v>
      </c>
      <c r="F240" s="140">
        <f t="shared" si="70"/>
        <v>-1341307</v>
      </c>
      <c r="G240" s="47">
        <f t="shared" si="71"/>
        <v>-37377.75506666665</v>
      </c>
      <c r="H240" s="52">
        <f t="shared" si="67"/>
        <v>294888.37994225038</v>
      </c>
      <c r="I240" s="505">
        <f t="shared" si="76"/>
        <v>-4778.4061875000007</v>
      </c>
      <c r="J240" s="47">
        <f t="shared" si="72"/>
        <v>-782233.47606250003</v>
      </c>
      <c r="K240" s="47">
        <f t="shared" si="75"/>
        <v>-559073.52393749997</v>
      </c>
    </row>
    <row r="241" spans="1:11">
      <c r="A241" s="137">
        <v>41394</v>
      </c>
      <c r="B241" s="47">
        <v>-1341307</v>
      </c>
      <c r="C241" s="47">
        <f t="shared" si="73"/>
        <v>39713.864758333315</v>
      </c>
      <c r="D241" s="47">
        <f t="shared" si="68"/>
        <v>-1301593.1352416666</v>
      </c>
      <c r="E241" s="41">
        <f t="shared" si="69"/>
        <v>295855.28512495081</v>
      </c>
      <c r="F241" s="140">
        <f t="shared" si="70"/>
        <v>-1341307</v>
      </c>
      <c r="G241" s="47">
        <f t="shared" si="71"/>
        <v>-39713.864758333315</v>
      </c>
      <c r="H241" s="52">
        <f t="shared" si="67"/>
        <v>295855.28512495081</v>
      </c>
      <c r="I241" s="505">
        <f t="shared" si="76"/>
        <v>-4778.4061875000007</v>
      </c>
      <c r="J241" s="47">
        <f t="shared" si="72"/>
        <v>-787011.88225000002</v>
      </c>
      <c r="K241" s="47">
        <f t="shared" si="75"/>
        <v>-554295.11774999998</v>
      </c>
    </row>
    <row r="242" spans="1:11">
      <c r="A242" s="137">
        <v>41425</v>
      </c>
      <c r="B242" s="47">
        <v>-1341307</v>
      </c>
      <c r="C242" s="47">
        <f t="shared" si="73"/>
        <v>42049.97444999998</v>
      </c>
      <c r="D242" s="47">
        <f t="shared" si="68"/>
        <v>-1299257.0255499999</v>
      </c>
      <c r="E242" s="41">
        <f t="shared" si="69"/>
        <v>296822.19030765118</v>
      </c>
      <c r="F242" s="140">
        <f t="shared" si="70"/>
        <v>-1341307</v>
      </c>
      <c r="G242" s="47">
        <f t="shared" si="71"/>
        <v>-42049.97444999998</v>
      </c>
      <c r="H242" s="52">
        <f t="shared" si="67"/>
        <v>296822.19030765118</v>
      </c>
      <c r="I242" s="505">
        <f t="shared" si="76"/>
        <v>-4778.4061875000007</v>
      </c>
      <c r="J242" s="47">
        <f t="shared" si="72"/>
        <v>-791790.28843750001</v>
      </c>
      <c r="K242" s="47">
        <f t="shared" si="75"/>
        <v>-549516.71156249999</v>
      </c>
    </row>
    <row r="243" spans="1:11">
      <c r="A243" s="137">
        <v>41455</v>
      </c>
      <c r="B243" s="47">
        <v>-1341307</v>
      </c>
      <c r="C243" s="47">
        <f t="shared" si="73"/>
        <v>44386.084141666644</v>
      </c>
      <c r="D243" s="47">
        <f t="shared" si="68"/>
        <v>-1296920.9158583335</v>
      </c>
      <c r="E243" s="41">
        <f t="shared" si="69"/>
        <v>297789.09549035173</v>
      </c>
      <c r="F243" s="140">
        <f t="shared" si="70"/>
        <v>-1341307</v>
      </c>
      <c r="G243" s="47">
        <f t="shared" si="71"/>
        <v>-44386.084141666644</v>
      </c>
      <c r="H243" s="52">
        <f t="shared" si="67"/>
        <v>297789.09549035173</v>
      </c>
      <c r="I243" s="505">
        <f t="shared" si="76"/>
        <v>-4778.4061875000007</v>
      </c>
      <c r="J243" s="47">
        <f t="shared" si="72"/>
        <v>-796568.694625</v>
      </c>
      <c r="K243" s="47">
        <f t="shared" si="75"/>
        <v>-544738.305375</v>
      </c>
    </row>
    <row r="244" spans="1:11">
      <c r="A244" s="137">
        <v>41486</v>
      </c>
      <c r="B244" s="47">
        <v>-1341307</v>
      </c>
      <c r="C244" s="47">
        <f t="shared" si="73"/>
        <v>46722.193833333309</v>
      </c>
      <c r="D244" s="47">
        <f t="shared" si="68"/>
        <v>-1294584.8061666668</v>
      </c>
      <c r="E244" s="41">
        <f t="shared" si="69"/>
        <v>298756.0006730521</v>
      </c>
      <c r="F244" s="140">
        <f t="shared" si="70"/>
        <v>-1341307</v>
      </c>
      <c r="G244" s="47">
        <f t="shared" si="71"/>
        <v>-46722.193833333309</v>
      </c>
      <c r="H244" s="52">
        <f t="shared" si="67"/>
        <v>298756.0006730521</v>
      </c>
      <c r="I244" s="505">
        <f t="shared" si="76"/>
        <v>-4778.4061875000007</v>
      </c>
      <c r="J244" s="47">
        <f t="shared" si="72"/>
        <v>-801347.10081249999</v>
      </c>
      <c r="K244" s="47">
        <f t="shared" si="75"/>
        <v>-539959.89918750001</v>
      </c>
    </row>
    <row r="245" spans="1:11">
      <c r="A245" s="137">
        <v>41517</v>
      </c>
      <c r="B245" s="47">
        <v>-1341307</v>
      </c>
      <c r="C245" s="47">
        <f t="shared" si="73"/>
        <v>49058.303524999974</v>
      </c>
      <c r="D245" s="47">
        <f t="shared" si="68"/>
        <v>-1292248.6964750001</v>
      </c>
      <c r="E245" s="41">
        <f t="shared" si="69"/>
        <v>299722.90585575253</v>
      </c>
      <c r="F245" s="140">
        <f t="shared" si="70"/>
        <v>-1341307</v>
      </c>
      <c r="G245" s="47">
        <f t="shared" si="71"/>
        <v>-49058.303524999974</v>
      </c>
      <c r="H245" s="52">
        <f t="shared" si="67"/>
        <v>299722.90585575253</v>
      </c>
      <c r="I245" s="505">
        <f t="shared" si="76"/>
        <v>-4778.4061875000007</v>
      </c>
      <c r="J245" s="47">
        <f t="shared" si="72"/>
        <v>-806125.50699999998</v>
      </c>
      <c r="K245" s="47">
        <f t="shared" si="75"/>
        <v>-535181.49300000002</v>
      </c>
    </row>
    <row r="246" spans="1:11">
      <c r="A246" s="137">
        <v>41547</v>
      </c>
      <c r="B246" s="47">
        <v>-1341307</v>
      </c>
      <c r="C246" s="47">
        <f t="shared" si="73"/>
        <v>51394.413216666639</v>
      </c>
      <c r="D246" s="47">
        <f t="shared" si="68"/>
        <v>-1289912.5867833334</v>
      </c>
      <c r="E246" s="41">
        <f t="shared" si="69"/>
        <v>300689.81103845296</v>
      </c>
      <c r="F246" s="140">
        <f t="shared" si="70"/>
        <v>-1341307</v>
      </c>
      <c r="G246" s="47">
        <f t="shared" si="71"/>
        <v>-51394.413216666639</v>
      </c>
      <c r="H246" s="52">
        <f t="shared" si="67"/>
        <v>300689.81103845296</v>
      </c>
      <c r="I246" s="505">
        <f t="shared" si="76"/>
        <v>-4778.4061875000007</v>
      </c>
      <c r="J246" s="47">
        <f t="shared" si="72"/>
        <v>-810903.91318749997</v>
      </c>
      <c r="K246" s="47">
        <f t="shared" si="75"/>
        <v>-530403.08681250003</v>
      </c>
    </row>
    <row r="247" spans="1:11">
      <c r="A247" s="137">
        <v>41578</v>
      </c>
      <c r="B247" s="47">
        <v>-1341307</v>
      </c>
      <c r="C247" s="47">
        <f t="shared" si="73"/>
        <v>53730.522908333303</v>
      </c>
      <c r="D247" s="47">
        <f t="shared" si="68"/>
        <v>-1287576.4770916668</v>
      </c>
      <c r="E247" s="41">
        <f t="shared" si="69"/>
        <v>301656.71622115333</v>
      </c>
      <c r="F247" s="140">
        <f t="shared" si="70"/>
        <v>-1341307</v>
      </c>
      <c r="G247" s="47">
        <f t="shared" si="71"/>
        <v>-53730.522908333303</v>
      </c>
      <c r="H247" s="52">
        <f t="shared" si="67"/>
        <v>301656.71622115333</v>
      </c>
      <c r="I247" s="505">
        <f t="shared" si="76"/>
        <v>-4778.4061875000007</v>
      </c>
      <c r="J247" s="47">
        <f t="shared" si="72"/>
        <v>-815682.31937499996</v>
      </c>
      <c r="K247" s="47">
        <f t="shared" si="75"/>
        <v>-525624.68062500004</v>
      </c>
    </row>
    <row r="248" spans="1:11">
      <c r="A248" s="137">
        <v>41608</v>
      </c>
      <c r="B248" s="47">
        <v>-1341307</v>
      </c>
      <c r="C248" s="47">
        <f t="shared" si="73"/>
        <v>56066.632599999968</v>
      </c>
      <c r="D248" s="47">
        <f t="shared" si="68"/>
        <v>-1285240.3674000001</v>
      </c>
      <c r="E248" s="41">
        <f t="shared" si="69"/>
        <v>302623.62140385376</v>
      </c>
      <c r="F248" s="140">
        <f t="shared" si="70"/>
        <v>-1341307</v>
      </c>
      <c r="G248" s="47">
        <f t="shared" si="71"/>
        <v>-56066.632599999968</v>
      </c>
      <c r="H248" s="52">
        <f t="shared" si="67"/>
        <v>302623.62140385376</v>
      </c>
      <c r="I248" s="505">
        <f t="shared" si="76"/>
        <v>-4778.4061875000007</v>
      </c>
      <c r="J248" s="47">
        <f t="shared" si="72"/>
        <v>-820460.72556249995</v>
      </c>
      <c r="K248" s="47">
        <f t="shared" si="75"/>
        <v>-520846.27443750005</v>
      </c>
    </row>
    <row r="249" spans="1:11">
      <c r="A249" s="137">
        <v>41639</v>
      </c>
      <c r="B249" s="47">
        <v>-1341307</v>
      </c>
      <c r="C249" s="47">
        <f t="shared" si="73"/>
        <v>58402.742291666633</v>
      </c>
      <c r="D249" s="47">
        <f t="shared" si="68"/>
        <v>-1282904.2577083334</v>
      </c>
      <c r="E249" s="41">
        <f t="shared" si="69"/>
        <v>303590.52658655419</v>
      </c>
      <c r="F249" s="140">
        <f t="shared" si="70"/>
        <v>-1341307</v>
      </c>
      <c r="G249" s="47">
        <f t="shared" si="71"/>
        <v>-58402.742291666633</v>
      </c>
      <c r="H249" s="52">
        <f t="shared" si="67"/>
        <v>303590.52658655419</v>
      </c>
      <c r="I249" s="505">
        <f t="shared" si="76"/>
        <v>-4778.4061875000007</v>
      </c>
      <c r="J249" s="47">
        <f t="shared" si="72"/>
        <v>-825239.13174999994</v>
      </c>
      <c r="K249" s="47">
        <f t="shared" si="75"/>
        <v>-516067.86825000006</v>
      </c>
    </row>
    <row r="250" spans="1:11">
      <c r="A250" s="137">
        <v>41670</v>
      </c>
      <c r="B250" s="47">
        <v>-1341307</v>
      </c>
      <c r="C250" s="47">
        <f t="shared" si="73"/>
        <v>60738.851983333298</v>
      </c>
      <c r="D250" s="47">
        <f t="shared" si="68"/>
        <v>-1280568.1480166668</v>
      </c>
      <c r="E250" s="41">
        <f>(-D250+K250)*0.3942</f>
        <v>303062.39477959502</v>
      </c>
      <c r="F250" s="140">
        <f t="shared" si="70"/>
        <v>-1341307</v>
      </c>
      <c r="G250" s="47">
        <f t="shared" si="71"/>
        <v>-60738.851983333298</v>
      </c>
      <c r="H250" s="52">
        <f t="shared" si="67"/>
        <v>303062.39477959502</v>
      </c>
      <c r="I250" s="505">
        <f>+$B$225*0.0385/12</f>
        <v>-4303.3599583333335</v>
      </c>
      <c r="J250" s="47">
        <f t="shared" si="72"/>
        <v>-829542.49170833325</v>
      </c>
      <c r="K250" s="47">
        <f t="shared" si="75"/>
        <v>-511764.50829166675</v>
      </c>
    </row>
    <row r="251" spans="1:11">
      <c r="A251" s="137">
        <v>41698</v>
      </c>
      <c r="B251" s="47">
        <v>-1341307</v>
      </c>
      <c r="C251" s="47">
        <f t="shared" si="73"/>
        <v>63074.961674999962</v>
      </c>
      <c r="D251" s="47">
        <f t="shared" si="68"/>
        <v>-1278232.0383250001</v>
      </c>
      <c r="E251" s="41">
        <f t="shared" ref="E251:E261" si="77">(-D251+K251)*0.3942</f>
        <v>303837.88483471499</v>
      </c>
      <c r="F251" s="140">
        <f t="shared" si="70"/>
        <v>-1341307</v>
      </c>
      <c r="G251" s="47">
        <f t="shared" si="71"/>
        <v>-63074.961674999962</v>
      </c>
      <c r="H251" s="52">
        <f t="shared" si="67"/>
        <v>303837.88483471499</v>
      </c>
      <c r="I251" s="505">
        <f t="shared" ref="I251:I261" si="78">+$B$225*0.0385/12</f>
        <v>-4303.3599583333335</v>
      </c>
      <c r="J251" s="47">
        <f t="shared" si="72"/>
        <v>-833845.85166666657</v>
      </c>
      <c r="K251" s="47">
        <f t="shared" si="75"/>
        <v>-507461.14833333343</v>
      </c>
    </row>
    <row r="252" spans="1:11">
      <c r="A252" s="137">
        <v>41729</v>
      </c>
      <c r="B252" s="47">
        <v>-1341307</v>
      </c>
      <c r="C252" s="47">
        <f t="shared" si="73"/>
        <v>65411.071366666627</v>
      </c>
      <c r="D252" s="47">
        <f t="shared" si="68"/>
        <v>-1275895.9286333334</v>
      </c>
      <c r="E252" s="41">
        <f t="shared" si="77"/>
        <v>304613.37488983496</v>
      </c>
      <c r="F252" s="140">
        <f t="shared" si="70"/>
        <v>-1341307</v>
      </c>
      <c r="G252" s="47">
        <f t="shared" si="71"/>
        <v>-65411.071366666627</v>
      </c>
      <c r="H252" s="52">
        <f t="shared" si="67"/>
        <v>304613.37488983496</v>
      </c>
      <c r="I252" s="505">
        <f t="shared" si="78"/>
        <v>-4303.3599583333335</v>
      </c>
      <c r="J252" s="47">
        <f t="shared" si="72"/>
        <v>-838149.21162499988</v>
      </c>
      <c r="K252" s="47">
        <f t="shared" si="75"/>
        <v>-503157.78837500012</v>
      </c>
    </row>
    <row r="253" spans="1:11">
      <c r="A253" s="137">
        <v>41759</v>
      </c>
      <c r="B253" s="47">
        <v>-1341307</v>
      </c>
      <c r="C253" s="47">
        <f t="shared" si="73"/>
        <v>67747.181058333299</v>
      </c>
      <c r="D253" s="47">
        <f t="shared" si="68"/>
        <v>-1273559.8189416667</v>
      </c>
      <c r="E253" s="41">
        <f t="shared" si="77"/>
        <v>305388.86494495498</v>
      </c>
      <c r="F253" s="140">
        <f t="shared" si="70"/>
        <v>-1341307</v>
      </c>
      <c r="G253" s="47">
        <f t="shared" si="71"/>
        <v>-67747.181058333299</v>
      </c>
      <c r="H253" s="52">
        <f t="shared" si="67"/>
        <v>305388.86494495498</v>
      </c>
      <c r="I253" s="505">
        <f t="shared" si="78"/>
        <v>-4303.3599583333335</v>
      </c>
      <c r="J253" s="47">
        <f t="shared" si="72"/>
        <v>-842452.57158333319</v>
      </c>
      <c r="K253" s="47">
        <f t="shared" si="75"/>
        <v>-498854.42841666681</v>
      </c>
    </row>
    <row r="254" spans="1:11">
      <c r="A254" s="137">
        <v>41790</v>
      </c>
      <c r="B254" s="47">
        <v>-1341307</v>
      </c>
      <c r="C254" s="47">
        <f t="shared" si="73"/>
        <v>70083.290749999971</v>
      </c>
      <c r="D254" s="47">
        <f t="shared" si="68"/>
        <v>-1271223.7092500001</v>
      </c>
      <c r="E254" s="41">
        <f t="shared" si="77"/>
        <v>306164.35500007495</v>
      </c>
      <c r="F254" s="140">
        <f t="shared" si="70"/>
        <v>-1341307</v>
      </c>
      <c r="G254" s="47">
        <f t="shared" si="71"/>
        <v>-70083.290749999971</v>
      </c>
      <c r="H254" s="52">
        <f t="shared" si="67"/>
        <v>306164.35500007495</v>
      </c>
      <c r="I254" s="505">
        <f t="shared" si="78"/>
        <v>-4303.3599583333335</v>
      </c>
      <c r="J254" s="47">
        <f t="shared" si="72"/>
        <v>-846755.9315416665</v>
      </c>
      <c r="K254" s="47">
        <f t="shared" si="75"/>
        <v>-494551.0684583335</v>
      </c>
    </row>
    <row r="255" spans="1:11">
      <c r="A255" s="137">
        <v>41820</v>
      </c>
      <c r="B255" s="47">
        <v>-1341307</v>
      </c>
      <c r="C255" s="47">
        <f t="shared" si="73"/>
        <v>72419.400441666643</v>
      </c>
      <c r="D255" s="47">
        <f t="shared" si="68"/>
        <v>-1268887.5995583334</v>
      </c>
      <c r="E255" s="41">
        <f t="shared" si="77"/>
        <v>306939.84505519498</v>
      </c>
      <c r="F255" s="140">
        <f t="shared" si="70"/>
        <v>-1341307</v>
      </c>
      <c r="G255" s="47">
        <f t="shared" si="71"/>
        <v>-72419.400441666643</v>
      </c>
      <c r="H255" s="52">
        <f t="shared" si="67"/>
        <v>306939.84505519498</v>
      </c>
      <c r="I255" s="505">
        <f t="shared" si="78"/>
        <v>-4303.3599583333335</v>
      </c>
      <c r="J255" s="47">
        <f t="shared" si="72"/>
        <v>-851059.29149999982</v>
      </c>
      <c r="K255" s="47">
        <f t="shared" si="75"/>
        <v>-490247.70850000018</v>
      </c>
    </row>
    <row r="256" spans="1:11">
      <c r="A256" s="137">
        <v>41851</v>
      </c>
      <c r="B256" s="47">
        <v>-1341307</v>
      </c>
      <c r="C256" s="47">
        <f t="shared" si="73"/>
        <v>74755.510133333315</v>
      </c>
      <c r="D256" s="47">
        <f t="shared" si="68"/>
        <v>-1266551.4898666667</v>
      </c>
      <c r="E256" s="41">
        <f t="shared" si="77"/>
        <v>307715.33511031495</v>
      </c>
      <c r="F256" s="140">
        <f t="shared" si="70"/>
        <v>-1341307</v>
      </c>
      <c r="G256" s="47">
        <f t="shared" si="71"/>
        <v>-74755.510133333315</v>
      </c>
      <c r="H256" s="52">
        <f t="shared" si="67"/>
        <v>307715.33511031495</v>
      </c>
      <c r="I256" s="505">
        <f t="shared" si="78"/>
        <v>-4303.3599583333335</v>
      </c>
      <c r="J256" s="47">
        <f t="shared" si="72"/>
        <v>-855362.65145833313</v>
      </c>
      <c r="K256" s="47">
        <f t="shared" si="75"/>
        <v>-485944.34854166687</v>
      </c>
    </row>
    <row r="257" spans="1:11">
      <c r="A257" s="137">
        <v>41882</v>
      </c>
      <c r="B257" s="47">
        <v>-1341307</v>
      </c>
      <c r="C257" s="47">
        <f t="shared" si="73"/>
        <v>77091.619824999987</v>
      </c>
      <c r="D257" s="47">
        <f t="shared" si="68"/>
        <v>-1264215.3801750001</v>
      </c>
      <c r="E257" s="41">
        <f t="shared" si="77"/>
        <v>308490.82516543492</v>
      </c>
      <c r="F257" s="140">
        <f t="shared" si="70"/>
        <v>-1341307</v>
      </c>
      <c r="G257" s="47">
        <f t="shared" si="71"/>
        <v>-77091.619824999987</v>
      </c>
      <c r="H257" s="52">
        <f t="shared" si="67"/>
        <v>308490.82516543492</v>
      </c>
      <c r="I257" s="505">
        <f t="shared" si="78"/>
        <v>-4303.3599583333335</v>
      </c>
      <c r="J257" s="47">
        <f t="shared" si="72"/>
        <v>-859666.01141666644</v>
      </c>
      <c r="K257" s="47">
        <f t="shared" si="75"/>
        <v>-481640.98858333356</v>
      </c>
    </row>
    <row r="258" spans="1:11">
      <c r="A258" s="137">
        <v>41912</v>
      </c>
      <c r="B258" s="47">
        <v>-1341307</v>
      </c>
      <c r="C258" s="47">
        <f t="shared" si="73"/>
        <v>79427.729516666659</v>
      </c>
      <c r="D258" s="47">
        <f t="shared" si="68"/>
        <v>-1261879.2704833334</v>
      </c>
      <c r="E258" s="41">
        <f t="shared" si="77"/>
        <v>309266.31522055494</v>
      </c>
      <c r="F258" s="140">
        <f t="shared" si="70"/>
        <v>-1341307</v>
      </c>
      <c r="G258" s="47">
        <f t="shared" si="71"/>
        <v>-79427.729516666659</v>
      </c>
      <c r="H258" s="52">
        <f t="shared" si="67"/>
        <v>309266.31522055494</v>
      </c>
      <c r="I258" s="505">
        <f t="shared" si="78"/>
        <v>-4303.3599583333335</v>
      </c>
      <c r="J258" s="47">
        <f t="shared" si="72"/>
        <v>-863969.37137499976</v>
      </c>
      <c r="K258" s="47">
        <f t="shared" si="75"/>
        <v>-477337.62862500024</v>
      </c>
    </row>
    <row r="259" spans="1:11">
      <c r="A259" s="137">
        <v>41943</v>
      </c>
      <c r="B259" s="47">
        <v>-1341307</v>
      </c>
      <c r="C259" s="47">
        <f t="shared" si="73"/>
        <v>81763.839208333331</v>
      </c>
      <c r="D259" s="47">
        <f t="shared" si="68"/>
        <v>-1259543.1607916667</v>
      </c>
      <c r="E259" s="41">
        <f t="shared" si="77"/>
        <v>310041.80527567491</v>
      </c>
      <c r="F259" s="140">
        <f t="shared" si="70"/>
        <v>-1341307</v>
      </c>
      <c r="G259" s="47">
        <f t="shared" si="71"/>
        <v>-81763.839208333331</v>
      </c>
      <c r="H259" s="52">
        <f t="shared" si="67"/>
        <v>310041.80527567491</v>
      </c>
      <c r="I259" s="505">
        <f t="shared" si="78"/>
        <v>-4303.3599583333335</v>
      </c>
      <c r="J259" s="47">
        <f t="shared" si="72"/>
        <v>-868272.73133333307</v>
      </c>
      <c r="K259" s="47">
        <f t="shared" si="75"/>
        <v>-473034.26866666693</v>
      </c>
    </row>
    <row r="260" spans="1:11">
      <c r="A260" s="137">
        <v>41973</v>
      </c>
      <c r="B260" s="47">
        <v>-1341307</v>
      </c>
      <c r="C260" s="47">
        <f t="shared" si="73"/>
        <v>84099.948900000003</v>
      </c>
      <c r="D260" s="47">
        <f t="shared" si="68"/>
        <v>-1257207.0511</v>
      </c>
      <c r="E260" s="41">
        <f t="shared" si="77"/>
        <v>310817.29533079488</v>
      </c>
      <c r="F260" s="140">
        <f t="shared" si="70"/>
        <v>-1341307</v>
      </c>
      <c r="G260" s="47">
        <f t="shared" si="71"/>
        <v>-84099.948900000003</v>
      </c>
      <c r="H260" s="52">
        <f t="shared" si="67"/>
        <v>310817.29533079488</v>
      </c>
      <c r="I260" s="505">
        <f t="shared" si="78"/>
        <v>-4303.3599583333335</v>
      </c>
      <c r="J260" s="47">
        <f t="shared" si="72"/>
        <v>-872576.09129166638</v>
      </c>
      <c r="K260" s="47">
        <f t="shared" si="75"/>
        <v>-468730.90870833362</v>
      </c>
    </row>
    <row r="261" spans="1:11">
      <c r="A261" s="137">
        <v>42004</v>
      </c>
      <c r="B261" s="47">
        <v>-1341307</v>
      </c>
      <c r="C261" s="47">
        <f t="shared" si="73"/>
        <v>86436.058591666675</v>
      </c>
      <c r="D261" s="47">
        <f t="shared" si="68"/>
        <v>-1254870.9414083334</v>
      </c>
      <c r="E261" s="41">
        <f t="shared" si="77"/>
        <v>311592.7853859149</v>
      </c>
      <c r="F261" s="140">
        <f t="shared" si="70"/>
        <v>-1341307</v>
      </c>
      <c r="G261" s="47">
        <f t="shared" si="71"/>
        <v>-86436.058591666675</v>
      </c>
      <c r="H261" s="52">
        <f t="shared" si="67"/>
        <v>311592.7853859149</v>
      </c>
      <c r="I261" s="505">
        <f t="shared" si="78"/>
        <v>-4303.3599583333335</v>
      </c>
      <c r="J261" s="47">
        <f t="shared" si="72"/>
        <v>-876879.45124999969</v>
      </c>
      <c r="K261" s="47">
        <f t="shared" si="75"/>
        <v>-464427.54875000031</v>
      </c>
    </row>
    <row r="262" spans="1:11">
      <c r="A262" s="137">
        <v>42035</v>
      </c>
      <c r="B262" s="47">
        <v>-1341307</v>
      </c>
      <c r="C262" s="47">
        <f t="shared" si="73"/>
        <v>88772.168283333347</v>
      </c>
      <c r="D262" s="47">
        <f t="shared" si="68"/>
        <v>-1252534.8317166667</v>
      </c>
      <c r="E262" s="41">
        <f>(-D262+K262)*0.3919</f>
        <v>310377.08228554035</v>
      </c>
      <c r="F262" s="140">
        <f t="shared" si="70"/>
        <v>-1341307</v>
      </c>
      <c r="G262" s="47">
        <f t="shared" si="71"/>
        <v>-88772.168283333347</v>
      </c>
      <c r="H262" s="52">
        <f t="shared" si="67"/>
        <v>310377.08228554035</v>
      </c>
      <c r="I262" s="505">
        <f>+$B$225*0.03465/12</f>
        <v>-3873.0239624999999</v>
      </c>
      <c r="J262" s="47">
        <f t="shared" si="72"/>
        <v>-880752.47521249973</v>
      </c>
      <c r="K262" s="47">
        <f t="shared" si="75"/>
        <v>-460554.52478750033</v>
      </c>
    </row>
    <row r="263" spans="1:11">
      <c r="A263" s="137">
        <v>42063</v>
      </c>
      <c r="B263" s="47">
        <v>-1341307</v>
      </c>
      <c r="C263" s="47">
        <f t="shared" si="73"/>
        <v>91108.277975000019</v>
      </c>
      <c r="D263" s="47">
        <f t="shared" si="68"/>
        <v>-1250198.722025</v>
      </c>
      <c r="E263" s="41">
        <f t="shared" ref="E263:E273" si="79">(-D263+K263)*0.3919</f>
        <v>310979.39898827992</v>
      </c>
      <c r="F263" s="140">
        <f t="shared" si="70"/>
        <v>-1341307</v>
      </c>
      <c r="G263" s="47">
        <f t="shared" si="71"/>
        <v>-91108.277975000019</v>
      </c>
      <c r="H263" s="52">
        <f t="shared" si="67"/>
        <v>310979.39898827992</v>
      </c>
      <c r="I263" s="505">
        <f t="shared" ref="I263:I273" si="80">+$B$225*0.03465/12</f>
        <v>-3873.0239624999999</v>
      </c>
      <c r="J263" s="47">
        <f t="shared" si="72"/>
        <v>-884625.49917499977</v>
      </c>
      <c r="K263" s="47">
        <f t="shared" si="75"/>
        <v>-456681.50082500034</v>
      </c>
    </row>
    <row r="264" spans="1:11">
      <c r="A264" s="137">
        <v>42094</v>
      </c>
      <c r="B264" s="47">
        <v>-1341307</v>
      </c>
      <c r="C264" s="47">
        <f t="shared" si="73"/>
        <v>93444.387666666691</v>
      </c>
      <c r="D264" s="47">
        <f t="shared" si="68"/>
        <v>-1247862.6123333334</v>
      </c>
      <c r="E264" s="41">
        <f t="shared" si="79"/>
        <v>311581.71569101943</v>
      </c>
      <c r="F264" s="140">
        <f t="shared" si="70"/>
        <v>-1341307</v>
      </c>
      <c r="G264" s="47">
        <f t="shared" si="71"/>
        <v>-93444.387666666691</v>
      </c>
      <c r="H264" s="52">
        <f t="shared" si="67"/>
        <v>311581.71569101943</v>
      </c>
      <c r="I264" s="505">
        <f t="shared" si="80"/>
        <v>-3873.0239624999999</v>
      </c>
      <c r="J264" s="47">
        <f t="shared" si="72"/>
        <v>-888498.52313749981</v>
      </c>
      <c r="K264" s="47">
        <f t="shared" si="75"/>
        <v>-452808.47686250036</v>
      </c>
    </row>
    <row r="265" spans="1:11">
      <c r="A265" s="137">
        <v>42124</v>
      </c>
      <c r="B265" s="47">
        <v>-1341307</v>
      </c>
      <c r="C265" s="47">
        <f t="shared" si="73"/>
        <v>95780.497358333363</v>
      </c>
      <c r="D265" s="47">
        <f t="shared" si="68"/>
        <v>-1245526.5026416667</v>
      </c>
      <c r="E265" s="41">
        <f t="shared" si="79"/>
        <v>312184.03239375906</v>
      </c>
      <c r="F265" s="140">
        <f t="shared" si="70"/>
        <v>-1341307</v>
      </c>
      <c r="G265" s="47">
        <f t="shared" si="71"/>
        <v>-95780.497358333363</v>
      </c>
      <c r="H265" s="52">
        <f t="shared" si="67"/>
        <v>312184.03239375906</v>
      </c>
      <c r="I265" s="505">
        <f t="shared" si="80"/>
        <v>-3873.0239624999999</v>
      </c>
      <c r="J265" s="47">
        <f t="shared" si="72"/>
        <v>-892371.54709999985</v>
      </c>
      <c r="K265" s="47">
        <f t="shared" si="75"/>
        <v>-448935.45290000038</v>
      </c>
    </row>
    <row r="266" spans="1:11">
      <c r="A266" s="137">
        <v>42155</v>
      </c>
      <c r="B266" s="47">
        <v>-1341307</v>
      </c>
      <c r="C266" s="47">
        <f t="shared" si="73"/>
        <v>98116.607050000035</v>
      </c>
      <c r="D266" s="47">
        <f t="shared" si="68"/>
        <v>-1243190.39295</v>
      </c>
      <c r="E266" s="41">
        <f t="shared" si="79"/>
        <v>312786.34909649863</v>
      </c>
      <c r="F266" s="140">
        <f t="shared" si="70"/>
        <v>-1341307</v>
      </c>
      <c r="G266" s="47">
        <f t="shared" si="71"/>
        <v>-98116.607050000035</v>
      </c>
      <c r="H266" s="52">
        <f t="shared" si="67"/>
        <v>312786.34909649863</v>
      </c>
      <c r="I266" s="505">
        <f t="shared" si="80"/>
        <v>-3873.0239624999999</v>
      </c>
      <c r="J266" s="47">
        <f t="shared" si="72"/>
        <v>-896244.57106249989</v>
      </c>
      <c r="K266" s="47">
        <f t="shared" si="75"/>
        <v>-445062.4289375004</v>
      </c>
    </row>
    <row r="267" spans="1:11">
      <c r="A267" s="137">
        <v>42185</v>
      </c>
      <c r="B267" s="47">
        <v>-1341307</v>
      </c>
      <c r="C267" s="47">
        <f t="shared" si="73"/>
        <v>100452.71674166671</v>
      </c>
      <c r="D267" s="47">
        <f t="shared" si="68"/>
        <v>-1240854.2832583333</v>
      </c>
      <c r="E267" s="41">
        <f t="shared" si="79"/>
        <v>313388.6657992382</v>
      </c>
      <c r="F267" s="140">
        <f t="shared" si="70"/>
        <v>-1341307</v>
      </c>
      <c r="G267" s="47">
        <f t="shared" si="71"/>
        <v>-100452.71674166671</v>
      </c>
      <c r="H267" s="52">
        <f t="shared" si="67"/>
        <v>313388.6657992382</v>
      </c>
      <c r="I267" s="505">
        <f t="shared" si="80"/>
        <v>-3873.0239624999999</v>
      </c>
      <c r="J267" s="47">
        <f t="shared" si="72"/>
        <v>-900117.59502499993</v>
      </c>
      <c r="K267" s="47">
        <f t="shared" si="75"/>
        <v>-441189.40497500042</v>
      </c>
    </row>
    <row r="268" spans="1:11">
      <c r="A268" s="137">
        <v>42216</v>
      </c>
      <c r="B268" s="47">
        <v>-1341307</v>
      </c>
      <c r="C268" s="47">
        <f t="shared" si="73"/>
        <v>102788.82643333338</v>
      </c>
      <c r="D268" s="47">
        <f t="shared" si="68"/>
        <v>-1238518.1735666667</v>
      </c>
      <c r="E268" s="41">
        <f t="shared" si="79"/>
        <v>313990.98250197776</v>
      </c>
      <c r="F268" s="140">
        <f t="shared" si="70"/>
        <v>-1341307</v>
      </c>
      <c r="G268" s="47">
        <f t="shared" si="71"/>
        <v>-102788.82643333338</v>
      </c>
      <c r="H268" s="52">
        <f t="shared" si="67"/>
        <v>313990.98250197776</v>
      </c>
      <c r="I268" s="505">
        <f t="shared" si="80"/>
        <v>-3873.0239624999999</v>
      </c>
      <c r="J268" s="47">
        <f t="shared" si="72"/>
        <v>-903990.61898749997</v>
      </c>
      <c r="K268" s="47">
        <f t="shared" si="75"/>
        <v>-437316.38101250044</v>
      </c>
    </row>
    <row r="269" spans="1:11">
      <c r="A269" s="137">
        <v>42247</v>
      </c>
      <c r="B269" s="47">
        <v>-1341307</v>
      </c>
      <c r="C269" s="47">
        <f t="shared" si="73"/>
        <v>105124.93612500005</v>
      </c>
      <c r="D269" s="47">
        <f t="shared" si="68"/>
        <v>-1236182.063875</v>
      </c>
      <c r="E269" s="41">
        <f t="shared" si="79"/>
        <v>314593.29920471733</v>
      </c>
      <c r="F269" s="140">
        <f t="shared" si="70"/>
        <v>-1341307</v>
      </c>
      <c r="G269" s="47">
        <f t="shared" si="71"/>
        <v>-105124.93612500005</v>
      </c>
      <c r="H269" s="52">
        <f t="shared" si="67"/>
        <v>314593.29920471733</v>
      </c>
      <c r="I269" s="505">
        <f t="shared" si="80"/>
        <v>-3873.0239624999999</v>
      </c>
      <c r="J269" s="47">
        <f t="shared" si="72"/>
        <v>-907863.64295000001</v>
      </c>
      <c r="K269" s="47">
        <f t="shared" si="75"/>
        <v>-433443.35705000046</v>
      </c>
    </row>
    <row r="270" spans="1:11">
      <c r="A270" s="137">
        <v>42277</v>
      </c>
      <c r="B270" s="47">
        <v>-1341307</v>
      </c>
      <c r="C270" s="47">
        <f t="shared" si="73"/>
        <v>107461.04581666672</v>
      </c>
      <c r="D270" s="47">
        <f t="shared" si="68"/>
        <v>-1233845.9541833333</v>
      </c>
      <c r="E270" s="41">
        <f t="shared" si="79"/>
        <v>315195.61590745696</v>
      </c>
      <c r="F270" s="140">
        <f t="shared" si="70"/>
        <v>-1341307</v>
      </c>
      <c r="G270" s="47">
        <f t="shared" si="71"/>
        <v>-107461.04581666672</v>
      </c>
      <c r="H270" s="52">
        <f t="shared" si="67"/>
        <v>315195.61590745696</v>
      </c>
      <c r="I270" s="505">
        <f t="shared" si="80"/>
        <v>-3873.0239624999999</v>
      </c>
      <c r="J270" s="47">
        <f t="shared" si="72"/>
        <v>-911736.66691250005</v>
      </c>
      <c r="K270" s="47">
        <f t="shared" si="75"/>
        <v>-429570.33308750048</v>
      </c>
    </row>
    <row r="271" spans="1:11">
      <c r="A271" s="137">
        <v>42308</v>
      </c>
      <c r="B271" s="47">
        <v>-1341307</v>
      </c>
      <c r="C271" s="47">
        <f t="shared" si="73"/>
        <v>109797.1555083334</v>
      </c>
      <c r="D271" s="47">
        <f t="shared" si="68"/>
        <v>-1231509.8444916666</v>
      </c>
      <c r="E271" s="41">
        <f t="shared" si="79"/>
        <v>315797.93261019647</v>
      </c>
      <c r="F271" s="140">
        <f t="shared" si="70"/>
        <v>-1341307</v>
      </c>
      <c r="G271" s="47">
        <f t="shared" si="71"/>
        <v>-109797.1555083334</v>
      </c>
      <c r="H271" s="52">
        <f t="shared" si="67"/>
        <v>315797.93261019647</v>
      </c>
      <c r="I271" s="505">
        <f t="shared" si="80"/>
        <v>-3873.0239624999999</v>
      </c>
      <c r="J271" s="47">
        <f t="shared" si="72"/>
        <v>-915609.69087500009</v>
      </c>
      <c r="K271" s="47">
        <f t="shared" si="75"/>
        <v>-425697.30912500049</v>
      </c>
    </row>
    <row r="272" spans="1:11">
      <c r="A272" s="137">
        <v>42338</v>
      </c>
      <c r="B272" s="47">
        <v>-1341307</v>
      </c>
      <c r="C272" s="47">
        <f t="shared" si="73"/>
        <v>112133.26520000007</v>
      </c>
      <c r="D272" s="47">
        <f t="shared" si="68"/>
        <v>-1229173.7348</v>
      </c>
      <c r="E272" s="41">
        <f t="shared" si="79"/>
        <v>316400.24931293604</v>
      </c>
      <c r="F272" s="140">
        <f t="shared" si="70"/>
        <v>-1341307</v>
      </c>
      <c r="G272" s="47">
        <f t="shared" si="71"/>
        <v>-112133.26520000007</v>
      </c>
      <c r="H272" s="52">
        <f t="shared" si="67"/>
        <v>316400.24931293604</v>
      </c>
      <c r="I272" s="505">
        <f t="shared" si="80"/>
        <v>-3873.0239624999999</v>
      </c>
      <c r="J272" s="47">
        <f t="shared" si="72"/>
        <v>-919482.71483750013</v>
      </c>
      <c r="K272" s="47">
        <f t="shared" si="75"/>
        <v>-421824.28516250051</v>
      </c>
    </row>
    <row r="273" spans="1:11">
      <c r="A273" s="137">
        <v>42369</v>
      </c>
      <c r="B273" s="47">
        <v>-1341307</v>
      </c>
      <c r="C273" s="47">
        <f t="shared" si="73"/>
        <v>114469.37489166674</v>
      </c>
      <c r="D273" s="47">
        <f t="shared" si="68"/>
        <v>-1226837.6251083333</v>
      </c>
      <c r="E273" s="41">
        <f t="shared" si="79"/>
        <v>317002.56601567561</v>
      </c>
      <c r="F273" s="140">
        <f t="shared" si="70"/>
        <v>-1341307</v>
      </c>
      <c r="G273" s="47">
        <f t="shared" si="71"/>
        <v>-114469.37489166674</v>
      </c>
      <c r="H273" s="52">
        <f t="shared" si="67"/>
        <v>317002.56601567561</v>
      </c>
      <c r="I273" s="505">
        <f t="shared" si="80"/>
        <v>-3873.0239624999999</v>
      </c>
      <c r="J273" s="47">
        <f t="shared" si="72"/>
        <v>-923355.73880000017</v>
      </c>
      <c r="K273" s="47">
        <f t="shared" si="75"/>
        <v>-417951.26120000053</v>
      </c>
    </row>
    <row r="274" spans="1:11">
      <c r="A274" s="137">
        <v>42400</v>
      </c>
      <c r="B274" s="47">
        <v>-1341307</v>
      </c>
      <c r="C274" s="47">
        <f t="shared" si="73"/>
        <v>116805.48458333341</v>
      </c>
      <c r="D274" s="47">
        <f t="shared" si="68"/>
        <v>-1224501.5154166666</v>
      </c>
      <c r="E274" s="41">
        <f>(-D274+K274)*0.3902</f>
        <v>316074.51123135228</v>
      </c>
      <c r="F274" s="140">
        <f t="shared" si="70"/>
        <v>-1341307</v>
      </c>
      <c r="G274" s="47">
        <f t="shared" si="71"/>
        <v>-116805.48458333341</v>
      </c>
      <c r="H274" s="52">
        <f t="shared" si="67"/>
        <v>316074.51123135228</v>
      </c>
      <c r="I274" s="505">
        <f t="shared" ref="I274:I285" si="81">+$B$225*0.03115/12</f>
        <v>-3481.8094208333332</v>
      </c>
      <c r="J274" s="47">
        <f t="shared" si="72"/>
        <v>-926837.54822083353</v>
      </c>
      <c r="K274" s="47">
        <f t="shared" si="75"/>
        <v>-414469.45177916723</v>
      </c>
    </row>
    <row r="275" spans="1:11">
      <c r="A275" s="137">
        <v>42429</v>
      </c>
      <c r="B275" s="47">
        <v>-1341307</v>
      </c>
      <c r="C275" s="47">
        <f t="shared" si="73"/>
        <v>119141.59427500008</v>
      </c>
      <c r="D275" s="47">
        <f t="shared" si="68"/>
        <v>-1222165.405725</v>
      </c>
      <c r="E275" s="41">
        <f t="shared" ref="E275:E285" si="82">(-D275+K275)*0.3902</f>
        <v>316521.56326567306</v>
      </c>
      <c r="F275" s="140">
        <f t="shared" si="70"/>
        <v>-1341307</v>
      </c>
      <c r="G275" s="47">
        <f t="shared" si="71"/>
        <v>-119141.59427500008</v>
      </c>
      <c r="H275" s="52">
        <f t="shared" si="67"/>
        <v>316521.56326567306</v>
      </c>
      <c r="I275" s="505">
        <f t="shared" si="81"/>
        <v>-3481.8094208333332</v>
      </c>
      <c r="J275" s="47">
        <f t="shared" si="72"/>
        <v>-930319.35764166689</v>
      </c>
      <c r="K275" s="47">
        <f t="shared" si="75"/>
        <v>-410987.64235833392</v>
      </c>
    </row>
    <row r="276" spans="1:11">
      <c r="A276" s="137">
        <v>42460</v>
      </c>
      <c r="B276" s="47">
        <v>-1341307</v>
      </c>
      <c r="C276" s="47">
        <f t="shared" si="73"/>
        <v>121477.70396666676</v>
      </c>
      <c r="D276" s="47">
        <f t="shared" si="68"/>
        <v>-1219829.2960333333</v>
      </c>
      <c r="E276" s="41">
        <f t="shared" si="82"/>
        <v>316968.61529999389</v>
      </c>
      <c r="F276" s="140">
        <f t="shared" si="70"/>
        <v>-1341307</v>
      </c>
      <c r="G276" s="47">
        <f t="shared" si="71"/>
        <v>-121477.70396666676</v>
      </c>
      <c r="H276" s="52">
        <f t="shared" si="67"/>
        <v>316968.61529999389</v>
      </c>
      <c r="I276" s="505">
        <f t="shared" si="81"/>
        <v>-3481.8094208333332</v>
      </c>
      <c r="J276" s="47">
        <f t="shared" si="72"/>
        <v>-933801.16706250026</v>
      </c>
      <c r="K276" s="47">
        <f t="shared" si="75"/>
        <v>-407505.83293750061</v>
      </c>
    </row>
    <row r="277" spans="1:11">
      <c r="A277" s="137">
        <v>42490</v>
      </c>
      <c r="B277" s="47">
        <v>-1341307</v>
      </c>
      <c r="C277" s="47">
        <f t="shared" si="73"/>
        <v>123813.81365833343</v>
      </c>
      <c r="D277" s="47">
        <f t="shared" si="68"/>
        <v>-1217493.1863416666</v>
      </c>
      <c r="E277" s="41">
        <f t="shared" si="82"/>
        <v>317415.66733431473</v>
      </c>
      <c r="F277" s="140">
        <f t="shared" si="70"/>
        <v>-1341307</v>
      </c>
      <c r="G277" s="47">
        <f t="shared" si="71"/>
        <v>-123813.81365833343</v>
      </c>
      <c r="H277" s="52">
        <f t="shared" si="67"/>
        <v>317415.66733431473</v>
      </c>
      <c r="I277" s="505">
        <f t="shared" si="81"/>
        <v>-3481.8094208333332</v>
      </c>
      <c r="J277" s="47">
        <f t="shared" si="72"/>
        <v>-937282.97648333362</v>
      </c>
      <c r="K277" s="47">
        <f t="shared" si="75"/>
        <v>-404024.02351666731</v>
      </c>
    </row>
    <row r="278" spans="1:11">
      <c r="A278" s="137">
        <v>42521</v>
      </c>
      <c r="B278" s="47">
        <v>-1341307</v>
      </c>
      <c r="C278" s="47">
        <f t="shared" si="73"/>
        <v>126149.9233500001</v>
      </c>
      <c r="D278" s="47">
        <f t="shared" si="68"/>
        <v>-1215157.0766499999</v>
      </c>
      <c r="E278" s="41">
        <f t="shared" si="82"/>
        <v>317862.71936863556</v>
      </c>
      <c r="F278" s="140">
        <f t="shared" si="70"/>
        <v>-1341307</v>
      </c>
      <c r="G278" s="47">
        <f t="shared" si="71"/>
        <v>-126149.9233500001</v>
      </c>
      <c r="H278" s="52">
        <f t="shared" si="67"/>
        <v>317862.71936863556</v>
      </c>
      <c r="I278" s="505">
        <f t="shared" si="81"/>
        <v>-3481.8094208333332</v>
      </c>
      <c r="J278" s="47">
        <f t="shared" si="72"/>
        <v>-940764.78590416699</v>
      </c>
      <c r="K278" s="47">
        <f t="shared" si="75"/>
        <v>-400542.214095834</v>
      </c>
    </row>
    <row r="279" spans="1:11">
      <c r="A279" s="137">
        <v>42551</v>
      </c>
      <c r="B279" s="47">
        <v>-1341307</v>
      </c>
      <c r="C279" s="47">
        <f t="shared" si="73"/>
        <v>128486.03304166677</v>
      </c>
      <c r="D279" s="47">
        <f t="shared" si="68"/>
        <v>-1212820.9669583333</v>
      </c>
      <c r="E279" s="41">
        <f t="shared" si="82"/>
        <v>318309.77140295634</v>
      </c>
      <c r="F279" s="140">
        <f t="shared" si="70"/>
        <v>-1341307</v>
      </c>
      <c r="G279" s="47">
        <f t="shared" si="71"/>
        <v>-128486.03304166677</v>
      </c>
      <c r="H279" s="52">
        <f t="shared" si="67"/>
        <v>318309.77140295634</v>
      </c>
      <c r="I279" s="505">
        <f t="shared" si="81"/>
        <v>-3481.8094208333332</v>
      </c>
      <c r="J279" s="47">
        <f t="shared" si="72"/>
        <v>-944246.59532500035</v>
      </c>
      <c r="K279" s="47">
        <f t="shared" si="75"/>
        <v>-397060.4046750007</v>
      </c>
    </row>
    <row r="280" spans="1:11">
      <c r="A280" s="137">
        <v>42582</v>
      </c>
      <c r="B280" s="47">
        <v>-1341307</v>
      </c>
      <c r="C280" s="47">
        <f t="shared" si="73"/>
        <v>130822.14273333344</v>
      </c>
      <c r="D280" s="47">
        <f t="shared" si="68"/>
        <v>-1210484.8572666666</v>
      </c>
      <c r="E280" s="41">
        <f t="shared" si="82"/>
        <v>318756.82343727717</v>
      </c>
      <c r="F280" s="140">
        <f t="shared" si="70"/>
        <v>-1341307</v>
      </c>
      <c r="G280" s="47">
        <f t="shared" si="71"/>
        <v>-130822.14273333344</v>
      </c>
      <c r="H280" s="52">
        <f t="shared" si="67"/>
        <v>318756.82343727717</v>
      </c>
      <c r="I280" s="505">
        <f t="shared" si="81"/>
        <v>-3481.8094208333332</v>
      </c>
      <c r="J280" s="47">
        <f t="shared" si="72"/>
        <v>-947728.40474583372</v>
      </c>
      <c r="K280" s="47">
        <f t="shared" si="75"/>
        <v>-393578.59525416739</v>
      </c>
    </row>
    <row r="281" spans="1:11">
      <c r="A281" s="137">
        <v>42613</v>
      </c>
      <c r="B281" s="47">
        <v>-1341307</v>
      </c>
      <c r="C281" s="47">
        <f t="shared" si="73"/>
        <v>133158.2524250001</v>
      </c>
      <c r="D281" s="47">
        <f t="shared" si="68"/>
        <v>-1208148.7475749999</v>
      </c>
      <c r="E281" s="41">
        <f t="shared" si="82"/>
        <v>319203.875471598</v>
      </c>
      <c r="F281" s="140">
        <f t="shared" si="70"/>
        <v>-1341307</v>
      </c>
      <c r="G281" s="47">
        <f t="shared" si="71"/>
        <v>-133158.2524250001</v>
      </c>
      <c r="H281" s="52">
        <f t="shared" si="67"/>
        <v>319203.875471598</v>
      </c>
      <c r="I281" s="505">
        <f t="shared" si="81"/>
        <v>-3481.8094208333332</v>
      </c>
      <c r="J281" s="47">
        <f t="shared" si="72"/>
        <v>-951210.21416666708</v>
      </c>
      <c r="K281" s="47">
        <f t="shared" si="75"/>
        <v>-390096.78583333408</v>
      </c>
    </row>
    <row r="282" spans="1:11">
      <c r="A282" s="137">
        <v>42643</v>
      </c>
      <c r="B282" s="47">
        <v>-1341307</v>
      </c>
      <c r="C282" s="47">
        <f t="shared" si="73"/>
        <v>135494.36211666677</v>
      </c>
      <c r="D282" s="47">
        <f>+B282+C282</f>
        <v>-1205812.6378833333</v>
      </c>
      <c r="E282" s="41">
        <f t="shared" si="82"/>
        <v>319650.92750591884</v>
      </c>
      <c r="F282" s="140">
        <f t="shared" si="70"/>
        <v>-1341307</v>
      </c>
      <c r="G282" s="47">
        <f t="shared" si="71"/>
        <v>-135494.36211666677</v>
      </c>
      <c r="H282" s="52">
        <f t="shared" si="67"/>
        <v>319650.92750591884</v>
      </c>
      <c r="I282" s="505">
        <f t="shared" si="81"/>
        <v>-3481.8094208333332</v>
      </c>
      <c r="J282" s="47">
        <f t="shared" si="72"/>
        <v>-954692.02358750044</v>
      </c>
      <c r="K282" s="47">
        <f t="shared" si="75"/>
        <v>-386614.97641250078</v>
      </c>
    </row>
    <row r="283" spans="1:11">
      <c r="A283" s="137">
        <v>42674</v>
      </c>
      <c r="B283" s="47">
        <v>-1341307</v>
      </c>
      <c r="C283" s="47">
        <f t="shared" si="73"/>
        <v>137830.47180833344</v>
      </c>
      <c r="D283" s="47">
        <f t="shared" si="68"/>
        <v>-1203476.5281916666</v>
      </c>
      <c r="E283" s="41">
        <f t="shared" si="82"/>
        <v>320097.97954023967</v>
      </c>
      <c r="F283" s="140">
        <f t="shared" si="70"/>
        <v>-1341307</v>
      </c>
      <c r="G283" s="47">
        <f t="shared" si="71"/>
        <v>-137830.47180833344</v>
      </c>
      <c r="H283" s="52">
        <f t="shared" si="67"/>
        <v>320097.97954023967</v>
      </c>
      <c r="I283" s="505">
        <f t="shared" si="81"/>
        <v>-3481.8094208333332</v>
      </c>
      <c r="J283" s="47">
        <f t="shared" si="72"/>
        <v>-958173.83300833381</v>
      </c>
      <c r="K283" s="47">
        <f t="shared" si="75"/>
        <v>-383133.16699166747</v>
      </c>
    </row>
    <row r="284" spans="1:11">
      <c r="A284" s="137">
        <v>42704</v>
      </c>
      <c r="B284" s="47">
        <v>-1341307</v>
      </c>
      <c r="C284" s="47">
        <f t="shared" si="73"/>
        <v>140166.58150000012</v>
      </c>
      <c r="D284" s="47">
        <f t="shared" si="68"/>
        <v>-1201140.4184999999</v>
      </c>
      <c r="E284" s="41">
        <f t="shared" si="82"/>
        <v>320545.03157456045</v>
      </c>
      <c r="F284" s="140">
        <f t="shared" si="70"/>
        <v>-1341307</v>
      </c>
      <c r="G284" s="47">
        <f t="shared" si="71"/>
        <v>-140166.58150000012</v>
      </c>
      <c r="H284" s="52">
        <f t="shared" si="67"/>
        <v>320545.03157456045</v>
      </c>
      <c r="I284" s="505">
        <f t="shared" si="81"/>
        <v>-3481.8094208333332</v>
      </c>
      <c r="J284" s="47">
        <f t="shared" si="72"/>
        <v>-961655.64242916717</v>
      </c>
      <c r="K284" s="47">
        <f t="shared" si="75"/>
        <v>-379651.35757083417</v>
      </c>
    </row>
    <row r="285" spans="1:11">
      <c r="A285" s="137">
        <v>42735</v>
      </c>
      <c r="B285" s="47">
        <v>-1341307</v>
      </c>
      <c r="C285" s="47">
        <f>-B285*$C$5/12+C284</f>
        <v>142502.69119166679</v>
      </c>
      <c r="D285" s="47">
        <f>+B285+C285</f>
        <v>-1198804.3088083332</v>
      </c>
      <c r="E285" s="41">
        <f t="shared" si="82"/>
        <v>320992.08360888128</v>
      </c>
      <c r="F285" s="140">
        <f>B285</f>
        <v>-1341307</v>
      </c>
      <c r="G285" s="47">
        <f>-C285</f>
        <v>-142502.69119166679</v>
      </c>
      <c r="H285" s="52">
        <f>E285</f>
        <v>320992.08360888128</v>
      </c>
      <c r="I285" s="505">
        <f t="shared" si="81"/>
        <v>-3481.8094208333332</v>
      </c>
      <c r="J285" s="47">
        <f>+I285+J284</f>
        <v>-965137.45185000054</v>
      </c>
      <c r="K285" s="47">
        <f>+K284-I285</f>
        <v>-376169.54815000086</v>
      </c>
    </row>
    <row r="286" spans="1:11">
      <c r="A286" s="137">
        <v>42766</v>
      </c>
      <c r="B286" s="47">
        <v>-1341307</v>
      </c>
      <c r="C286" s="47">
        <f t="shared" ref="C286:C296" si="83">-B286*$C$5/12+C285</f>
        <v>144838.80088333346</v>
      </c>
      <c r="D286" s="47">
        <f t="shared" ref="D286:D296" si="84">+B286+C286</f>
        <v>-1196468.1991166666</v>
      </c>
      <c r="E286" s="41">
        <f>(-D286+K286)*0.388</f>
        <v>319555.25990189967</v>
      </c>
      <c r="F286" s="140">
        <f t="shared" ref="F286:F296" si="85">B286</f>
        <v>-1341307</v>
      </c>
      <c r="G286" s="47">
        <f t="shared" ref="G286:G296" si="86">-C286</f>
        <v>-144838.80088333346</v>
      </c>
      <c r="H286" s="52">
        <f t="shared" ref="H286:H296" si="87">E286</f>
        <v>319555.25990189967</v>
      </c>
      <c r="I286" s="505">
        <f t="shared" ref="I286:I309" si="88">+$B$225*0.0295/12</f>
        <v>-3297.3797083333334</v>
      </c>
      <c r="J286" s="47">
        <f t="shared" ref="J286:J296" si="89">+I286+J285</f>
        <v>-968434.83155833383</v>
      </c>
      <c r="K286" s="47">
        <f t="shared" ref="K286:K296" si="90">+K285-I286</f>
        <v>-372872.16844166751</v>
      </c>
    </row>
    <row r="287" spans="1:11">
      <c r="A287" s="137">
        <v>42794</v>
      </c>
      <c r="B287" s="47">
        <v>-1341307</v>
      </c>
      <c r="C287" s="47">
        <f t="shared" si="83"/>
        <v>147174.91057500013</v>
      </c>
      <c r="D287" s="47">
        <f t="shared" si="84"/>
        <v>-1194132.0894249999</v>
      </c>
      <c r="E287" s="41">
        <f t="shared" ref="E287:E297" si="91">(-D287+K287)*0.388</f>
        <v>319928.23266836634</v>
      </c>
      <c r="F287" s="140">
        <f t="shared" si="85"/>
        <v>-1341307</v>
      </c>
      <c r="G287" s="47">
        <f t="shared" si="86"/>
        <v>-147174.91057500013</v>
      </c>
      <c r="H287" s="52">
        <f t="shared" si="87"/>
        <v>319928.23266836634</v>
      </c>
      <c r="I287" s="505">
        <f t="shared" si="88"/>
        <v>-3297.3797083333334</v>
      </c>
      <c r="J287" s="47">
        <f t="shared" si="89"/>
        <v>-971732.21126666712</v>
      </c>
      <c r="K287" s="47">
        <f t="shared" si="90"/>
        <v>-369574.78873333416</v>
      </c>
    </row>
    <row r="288" spans="1:11">
      <c r="A288" s="137">
        <v>42825</v>
      </c>
      <c r="B288" s="47">
        <v>-1341307</v>
      </c>
      <c r="C288" s="47">
        <f t="shared" si="83"/>
        <v>149511.0202666668</v>
      </c>
      <c r="D288" s="47">
        <f t="shared" si="84"/>
        <v>-1191795.9797333332</v>
      </c>
      <c r="E288" s="41">
        <f t="shared" si="91"/>
        <v>320301.20543483295</v>
      </c>
      <c r="F288" s="140">
        <f t="shared" si="85"/>
        <v>-1341307</v>
      </c>
      <c r="G288" s="47">
        <f t="shared" si="86"/>
        <v>-149511.0202666668</v>
      </c>
      <c r="H288" s="52">
        <f t="shared" si="87"/>
        <v>320301.20543483295</v>
      </c>
      <c r="I288" s="505">
        <f t="shared" si="88"/>
        <v>-3297.3797083333334</v>
      </c>
      <c r="J288" s="47">
        <f t="shared" si="89"/>
        <v>-975029.59097500041</v>
      </c>
      <c r="K288" s="47">
        <f t="shared" si="90"/>
        <v>-366277.40902500082</v>
      </c>
    </row>
    <row r="289" spans="1:11">
      <c r="A289" s="137">
        <v>42855</v>
      </c>
      <c r="B289" s="47">
        <v>-1341307</v>
      </c>
      <c r="C289" s="47">
        <f t="shared" si="83"/>
        <v>151847.12995833348</v>
      </c>
      <c r="D289" s="47">
        <f t="shared" si="84"/>
        <v>-1189459.8700416666</v>
      </c>
      <c r="E289" s="41">
        <f>(-D289+K289)*0.388</f>
        <v>320674.17820129963</v>
      </c>
      <c r="F289" s="140">
        <f t="shared" si="85"/>
        <v>-1341307</v>
      </c>
      <c r="G289" s="47">
        <f t="shared" si="86"/>
        <v>-151847.12995833348</v>
      </c>
      <c r="H289" s="52">
        <f t="shared" si="87"/>
        <v>320674.17820129963</v>
      </c>
      <c r="I289" s="505">
        <f t="shared" si="88"/>
        <v>-3297.3797083333334</v>
      </c>
      <c r="J289" s="47">
        <f t="shared" si="89"/>
        <v>-978326.9706833337</v>
      </c>
      <c r="K289" s="47">
        <f t="shared" si="90"/>
        <v>-362980.02931666747</v>
      </c>
    </row>
    <row r="290" spans="1:11">
      <c r="A290" s="137">
        <v>42886</v>
      </c>
      <c r="B290" s="47">
        <v>-1341307</v>
      </c>
      <c r="C290" s="47">
        <f t="shared" si="83"/>
        <v>154183.23965000015</v>
      </c>
      <c r="D290" s="47">
        <f t="shared" si="84"/>
        <v>-1187123.7603499999</v>
      </c>
      <c r="E290" s="41">
        <f t="shared" si="91"/>
        <v>321047.15096776636</v>
      </c>
      <c r="F290" s="140">
        <f t="shared" si="85"/>
        <v>-1341307</v>
      </c>
      <c r="G290" s="47">
        <f t="shared" si="86"/>
        <v>-154183.23965000015</v>
      </c>
      <c r="H290" s="52">
        <f t="shared" si="87"/>
        <v>321047.15096776636</v>
      </c>
      <c r="I290" s="505">
        <f t="shared" si="88"/>
        <v>-3297.3797083333334</v>
      </c>
      <c r="J290" s="47">
        <f t="shared" si="89"/>
        <v>-981624.35039166699</v>
      </c>
      <c r="K290" s="47">
        <f t="shared" si="90"/>
        <v>-359682.64960833412</v>
      </c>
    </row>
    <row r="291" spans="1:11">
      <c r="A291" s="137">
        <v>42916</v>
      </c>
      <c r="B291" s="47">
        <v>-1341307</v>
      </c>
      <c r="C291" s="47">
        <f t="shared" si="83"/>
        <v>156519.34934166682</v>
      </c>
      <c r="D291" s="47">
        <f t="shared" si="84"/>
        <v>-1184787.6506583332</v>
      </c>
      <c r="E291" s="41">
        <f t="shared" si="91"/>
        <v>321420.12373423297</v>
      </c>
      <c r="F291" s="140">
        <f t="shared" si="85"/>
        <v>-1341307</v>
      </c>
      <c r="G291" s="47">
        <f t="shared" si="86"/>
        <v>-156519.34934166682</v>
      </c>
      <c r="H291" s="52">
        <f t="shared" si="87"/>
        <v>321420.12373423297</v>
      </c>
      <c r="I291" s="505">
        <f t="shared" si="88"/>
        <v>-3297.3797083333334</v>
      </c>
      <c r="J291" s="47">
        <f t="shared" si="89"/>
        <v>-984921.73010000028</v>
      </c>
      <c r="K291" s="47">
        <f t="shared" si="90"/>
        <v>-356385.26990000077</v>
      </c>
    </row>
    <row r="292" spans="1:11">
      <c r="A292" s="137">
        <v>42947</v>
      </c>
      <c r="B292" s="47">
        <v>-1341307</v>
      </c>
      <c r="C292" s="47">
        <f t="shared" si="83"/>
        <v>158855.45903333349</v>
      </c>
      <c r="D292" s="47">
        <f t="shared" si="84"/>
        <v>-1182451.5409666665</v>
      </c>
      <c r="E292" s="41">
        <f t="shared" si="91"/>
        <v>321793.09650069964</v>
      </c>
      <c r="F292" s="140">
        <f t="shared" si="85"/>
        <v>-1341307</v>
      </c>
      <c r="G292" s="47">
        <f t="shared" si="86"/>
        <v>-158855.45903333349</v>
      </c>
      <c r="H292" s="52">
        <f t="shared" si="87"/>
        <v>321793.09650069964</v>
      </c>
      <c r="I292" s="505">
        <f t="shared" si="88"/>
        <v>-3297.3797083333334</v>
      </c>
      <c r="J292" s="47">
        <f t="shared" si="89"/>
        <v>-988219.10980833357</v>
      </c>
      <c r="K292" s="47">
        <f t="shared" si="90"/>
        <v>-353087.89019166742</v>
      </c>
    </row>
    <row r="293" spans="1:11">
      <c r="A293" s="137">
        <v>42978</v>
      </c>
      <c r="B293" s="47">
        <v>-1341307</v>
      </c>
      <c r="C293" s="47">
        <f t="shared" si="83"/>
        <v>161191.56872500016</v>
      </c>
      <c r="D293" s="47">
        <f t="shared" si="84"/>
        <v>-1180115.4312749999</v>
      </c>
      <c r="E293" s="41">
        <f t="shared" si="91"/>
        <v>322166.06926716631</v>
      </c>
      <c r="F293" s="140">
        <f t="shared" si="85"/>
        <v>-1341307</v>
      </c>
      <c r="G293" s="47">
        <f t="shared" si="86"/>
        <v>-161191.56872500016</v>
      </c>
      <c r="H293" s="52">
        <f t="shared" si="87"/>
        <v>322166.06926716631</v>
      </c>
      <c r="I293" s="505">
        <f t="shared" si="88"/>
        <v>-3297.3797083333334</v>
      </c>
      <c r="J293" s="47">
        <f t="shared" si="89"/>
        <v>-991516.48951666686</v>
      </c>
      <c r="K293" s="47">
        <f t="shared" si="90"/>
        <v>-349790.51048333407</v>
      </c>
    </row>
    <row r="294" spans="1:11">
      <c r="A294" s="137">
        <v>43008</v>
      </c>
      <c r="B294" s="47">
        <v>-1341307</v>
      </c>
      <c r="C294" s="47">
        <f t="shared" si="83"/>
        <v>163527.67841666684</v>
      </c>
      <c r="D294" s="47">
        <f t="shared" si="84"/>
        <v>-1177779.3215833332</v>
      </c>
      <c r="E294" s="41">
        <f t="shared" si="91"/>
        <v>322539.04203363304</v>
      </c>
      <c r="F294" s="140">
        <f t="shared" si="85"/>
        <v>-1341307</v>
      </c>
      <c r="G294" s="47">
        <f t="shared" si="86"/>
        <v>-163527.67841666684</v>
      </c>
      <c r="H294" s="52">
        <f t="shared" si="87"/>
        <v>322539.04203363304</v>
      </c>
      <c r="I294" s="505">
        <f t="shared" si="88"/>
        <v>-3297.3797083333334</v>
      </c>
      <c r="J294" s="47">
        <f t="shared" si="89"/>
        <v>-994813.86922500015</v>
      </c>
      <c r="K294" s="47">
        <f t="shared" si="90"/>
        <v>-346493.13077500073</v>
      </c>
    </row>
    <row r="295" spans="1:11">
      <c r="A295" s="137">
        <v>43039</v>
      </c>
      <c r="B295" s="47">
        <v>-1341307</v>
      </c>
      <c r="C295" s="47">
        <f t="shared" si="83"/>
        <v>165863.78810833351</v>
      </c>
      <c r="D295" s="47">
        <f t="shared" si="84"/>
        <v>-1175443.2118916665</v>
      </c>
      <c r="E295" s="41">
        <f t="shared" si="91"/>
        <v>322912.01480009966</v>
      </c>
      <c r="F295" s="140">
        <f t="shared" si="85"/>
        <v>-1341307</v>
      </c>
      <c r="G295" s="47">
        <f t="shared" si="86"/>
        <v>-165863.78810833351</v>
      </c>
      <c r="H295" s="52">
        <f t="shared" si="87"/>
        <v>322912.01480009966</v>
      </c>
      <c r="I295" s="505">
        <f t="shared" si="88"/>
        <v>-3297.3797083333334</v>
      </c>
      <c r="J295" s="47">
        <f t="shared" si="89"/>
        <v>-998111.24893333344</v>
      </c>
      <c r="K295" s="47">
        <f t="shared" si="90"/>
        <v>-343195.75106666738</v>
      </c>
    </row>
    <row r="296" spans="1:11">
      <c r="A296" s="137">
        <v>43069</v>
      </c>
      <c r="B296" s="47">
        <v>-1341307</v>
      </c>
      <c r="C296" s="47">
        <f t="shared" si="83"/>
        <v>168199.89780000018</v>
      </c>
      <c r="D296" s="47">
        <f t="shared" si="84"/>
        <v>-1173107.1021999998</v>
      </c>
      <c r="E296" s="41">
        <f t="shared" si="91"/>
        <v>323284.98756656633</v>
      </c>
      <c r="F296" s="140">
        <f t="shared" si="85"/>
        <v>-1341307</v>
      </c>
      <c r="G296" s="47">
        <f t="shared" si="86"/>
        <v>-168199.89780000018</v>
      </c>
      <c r="H296" s="52">
        <f t="shared" si="87"/>
        <v>323284.98756656633</v>
      </c>
      <c r="I296" s="505">
        <f t="shared" si="88"/>
        <v>-3297.3797083333334</v>
      </c>
      <c r="J296" s="47">
        <f t="shared" si="89"/>
        <v>-1001408.6286416667</v>
      </c>
      <c r="K296" s="47">
        <f t="shared" si="90"/>
        <v>-339898.37135833403</v>
      </c>
    </row>
    <row r="297" spans="1:11">
      <c r="A297" s="137">
        <v>43100</v>
      </c>
      <c r="B297" s="47">
        <v>-1341307</v>
      </c>
      <c r="C297" s="47">
        <f>-B297*$C$5/12+C296</f>
        <v>170536.00749166685</v>
      </c>
      <c r="D297" s="47">
        <f>+B297+C297</f>
        <v>-1170770.9925083332</v>
      </c>
      <c r="E297" s="41">
        <f t="shared" si="91"/>
        <v>323657.960333033</v>
      </c>
      <c r="F297" s="140">
        <f>B297</f>
        <v>-1341307</v>
      </c>
      <c r="G297" s="47">
        <f>-C297</f>
        <v>-170536.00749166685</v>
      </c>
      <c r="H297" s="52">
        <f>E297</f>
        <v>323657.960333033</v>
      </c>
      <c r="I297" s="505">
        <f t="shared" si="88"/>
        <v>-3297.3797083333334</v>
      </c>
      <c r="J297" s="47">
        <f>+I297+J296</f>
        <v>-1004706.00835</v>
      </c>
      <c r="K297" s="47">
        <f>+K296-I297</f>
        <v>-336600.99165000068</v>
      </c>
    </row>
    <row r="298" spans="1:11">
      <c r="A298" s="137">
        <v>43131</v>
      </c>
      <c r="B298" s="47">
        <v>-1341307</v>
      </c>
      <c r="C298" s="47">
        <f t="shared" ref="C298:C308" si="92">-B298*$C$5/12+C297</f>
        <v>172872.11718333352</v>
      </c>
      <c r="D298" s="47">
        <f t="shared" ref="D298:D308" si="93">+B298+C298</f>
        <v>-1168434.8828166665</v>
      </c>
      <c r="E298" s="41">
        <f t="shared" ref="E298:E357" si="94">(-D298+K298)*0.254</f>
        <v>212123.3428022498</v>
      </c>
      <c r="F298" s="140">
        <f t="shared" ref="F298:F308" si="95">B298</f>
        <v>-1341307</v>
      </c>
      <c r="G298" s="47">
        <f t="shared" ref="G298:G308" si="96">-C298</f>
        <v>-172872.11718333352</v>
      </c>
      <c r="H298" s="52">
        <f t="shared" ref="H298:H308" si="97">E298</f>
        <v>212123.3428022498</v>
      </c>
      <c r="I298" s="505">
        <f t="shared" si="88"/>
        <v>-3297.3797083333334</v>
      </c>
      <c r="J298" s="47">
        <f t="shared" ref="J298:J308" si="98">+I298+J297</f>
        <v>-1008003.3880583333</v>
      </c>
      <c r="K298" s="47">
        <f t="shared" ref="K298:K308" si="99">+K297-I298</f>
        <v>-333303.61194166733</v>
      </c>
    </row>
    <row r="299" spans="1:11">
      <c r="A299" s="137">
        <v>43159</v>
      </c>
      <c r="B299" s="47">
        <v>-1341307</v>
      </c>
      <c r="C299" s="47">
        <f t="shared" si="92"/>
        <v>175208.2268750002</v>
      </c>
      <c r="D299" s="47">
        <f t="shared" si="93"/>
        <v>-1166098.7731249998</v>
      </c>
      <c r="E299" s="41">
        <f t="shared" si="94"/>
        <v>212367.50538648313</v>
      </c>
      <c r="F299" s="140">
        <f t="shared" si="95"/>
        <v>-1341307</v>
      </c>
      <c r="G299" s="47">
        <f t="shared" si="96"/>
        <v>-175208.2268750002</v>
      </c>
      <c r="H299" s="52">
        <f t="shared" si="97"/>
        <v>212367.50538648313</v>
      </c>
      <c r="I299" s="505">
        <f t="shared" si="88"/>
        <v>-3297.3797083333334</v>
      </c>
      <c r="J299" s="47">
        <f t="shared" si="98"/>
        <v>-1011300.7677666666</v>
      </c>
      <c r="K299" s="47">
        <f t="shared" si="99"/>
        <v>-330006.23223333398</v>
      </c>
    </row>
    <row r="300" spans="1:11">
      <c r="A300" s="137">
        <v>43190</v>
      </c>
      <c r="B300" s="47">
        <v>-1341307</v>
      </c>
      <c r="C300" s="47">
        <f t="shared" si="92"/>
        <v>177544.33656666687</v>
      </c>
      <c r="D300" s="47">
        <f t="shared" si="93"/>
        <v>-1163762.6634333332</v>
      </c>
      <c r="E300" s="41">
        <f t="shared" si="94"/>
        <v>212611.66797071646</v>
      </c>
      <c r="F300" s="140">
        <f t="shared" si="95"/>
        <v>-1341307</v>
      </c>
      <c r="G300" s="47">
        <f t="shared" si="96"/>
        <v>-177544.33656666687</v>
      </c>
      <c r="H300" s="52">
        <f t="shared" si="97"/>
        <v>212611.66797071646</v>
      </c>
      <c r="I300" s="505">
        <f t="shared" si="88"/>
        <v>-3297.3797083333334</v>
      </c>
      <c r="J300" s="47">
        <f t="shared" si="98"/>
        <v>-1014598.1474749999</v>
      </c>
      <c r="K300" s="47">
        <f t="shared" si="99"/>
        <v>-326708.85252500064</v>
      </c>
    </row>
    <row r="301" spans="1:11">
      <c r="A301" s="137">
        <v>43220</v>
      </c>
      <c r="B301" s="47">
        <v>-1341307</v>
      </c>
      <c r="C301" s="47">
        <f t="shared" si="92"/>
        <v>179880.44625833354</v>
      </c>
      <c r="D301" s="47">
        <f t="shared" si="93"/>
        <v>-1161426.5537416665</v>
      </c>
      <c r="E301" s="41">
        <f t="shared" si="94"/>
        <v>212855.83055494979</v>
      </c>
      <c r="F301" s="140">
        <f t="shared" si="95"/>
        <v>-1341307</v>
      </c>
      <c r="G301" s="47">
        <f t="shared" si="96"/>
        <v>-179880.44625833354</v>
      </c>
      <c r="H301" s="52">
        <f t="shared" si="97"/>
        <v>212855.83055494979</v>
      </c>
      <c r="I301" s="505">
        <f t="shared" si="88"/>
        <v>-3297.3797083333334</v>
      </c>
      <c r="J301" s="47">
        <f t="shared" si="98"/>
        <v>-1017895.5271833332</v>
      </c>
      <c r="K301" s="47">
        <f t="shared" si="99"/>
        <v>-323411.47281666729</v>
      </c>
    </row>
    <row r="302" spans="1:11">
      <c r="A302" s="137">
        <v>43251</v>
      </c>
      <c r="B302" s="47">
        <v>-1341307</v>
      </c>
      <c r="C302" s="47">
        <f t="shared" si="92"/>
        <v>182216.55595000021</v>
      </c>
      <c r="D302" s="47">
        <f t="shared" si="93"/>
        <v>-1159090.4440499998</v>
      </c>
      <c r="E302" s="41">
        <f t="shared" si="94"/>
        <v>213099.99313918315</v>
      </c>
      <c r="F302" s="140">
        <f t="shared" si="95"/>
        <v>-1341307</v>
      </c>
      <c r="G302" s="47">
        <f t="shared" si="96"/>
        <v>-182216.55595000021</v>
      </c>
      <c r="H302" s="52">
        <f t="shared" si="97"/>
        <v>213099.99313918315</v>
      </c>
      <c r="I302" s="505">
        <f t="shared" si="88"/>
        <v>-3297.3797083333334</v>
      </c>
      <c r="J302" s="47">
        <f t="shared" si="98"/>
        <v>-1021192.9068916665</v>
      </c>
      <c r="K302" s="47">
        <f t="shared" si="99"/>
        <v>-320114.09310833394</v>
      </c>
    </row>
    <row r="303" spans="1:11">
      <c r="A303" s="137">
        <v>43281</v>
      </c>
      <c r="B303" s="47">
        <v>-1341307</v>
      </c>
      <c r="C303" s="47">
        <f t="shared" si="92"/>
        <v>184552.66564166688</v>
      </c>
      <c r="D303" s="47">
        <f t="shared" si="93"/>
        <v>-1156754.3343583331</v>
      </c>
      <c r="E303" s="41">
        <f t="shared" si="94"/>
        <v>213344.15572341648</v>
      </c>
      <c r="F303" s="140">
        <f t="shared" si="95"/>
        <v>-1341307</v>
      </c>
      <c r="G303" s="47">
        <f t="shared" si="96"/>
        <v>-184552.66564166688</v>
      </c>
      <c r="H303" s="52">
        <f t="shared" si="97"/>
        <v>213344.15572341648</v>
      </c>
      <c r="I303" s="505">
        <f t="shared" si="88"/>
        <v>-3297.3797083333334</v>
      </c>
      <c r="J303" s="47">
        <f t="shared" si="98"/>
        <v>-1024490.2865999998</v>
      </c>
      <c r="K303" s="47">
        <f t="shared" si="99"/>
        <v>-316816.71340000059</v>
      </c>
    </row>
    <row r="304" spans="1:11">
      <c r="A304" s="137">
        <v>43312</v>
      </c>
      <c r="B304" s="47">
        <v>-1341307</v>
      </c>
      <c r="C304" s="47">
        <f t="shared" si="92"/>
        <v>186888.77533333356</v>
      </c>
      <c r="D304" s="47">
        <f t="shared" si="93"/>
        <v>-1154418.2246666665</v>
      </c>
      <c r="E304" s="41">
        <f t="shared" si="94"/>
        <v>213588.31830764978</v>
      </c>
      <c r="F304" s="140">
        <f t="shared" si="95"/>
        <v>-1341307</v>
      </c>
      <c r="G304" s="47">
        <f t="shared" si="96"/>
        <v>-186888.77533333356</v>
      </c>
      <c r="H304" s="52">
        <f t="shared" si="97"/>
        <v>213588.31830764978</v>
      </c>
      <c r="I304" s="505">
        <f t="shared" si="88"/>
        <v>-3297.3797083333334</v>
      </c>
      <c r="J304" s="47">
        <f t="shared" si="98"/>
        <v>-1027787.666308333</v>
      </c>
      <c r="K304" s="47">
        <f t="shared" si="99"/>
        <v>-313519.33369166724</v>
      </c>
    </row>
    <row r="305" spans="1:11">
      <c r="A305" s="137">
        <v>43343</v>
      </c>
      <c r="B305" s="47">
        <v>-1341307</v>
      </c>
      <c r="C305" s="47">
        <f t="shared" si="92"/>
        <v>189224.88502500023</v>
      </c>
      <c r="D305" s="47">
        <f t="shared" si="93"/>
        <v>-1152082.1149749998</v>
      </c>
      <c r="E305" s="41">
        <f t="shared" si="94"/>
        <v>213832.48089188314</v>
      </c>
      <c r="F305" s="140">
        <f t="shared" si="95"/>
        <v>-1341307</v>
      </c>
      <c r="G305" s="47">
        <f t="shared" si="96"/>
        <v>-189224.88502500023</v>
      </c>
      <c r="H305" s="52">
        <f t="shared" si="97"/>
        <v>213832.48089188314</v>
      </c>
      <c r="I305" s="505">
        <f t="shared" si="88"/>
        <v>-3297.3797083333334</v>
      </c>
      <c r="J305" s="47">
        <f t="shared" si="98"/>
        <v>-1031085.0460166663</v>
      </c>
      <c r="K305" s="47">
        <f t="shared" si="99"/>
        <v>-310221.95398333389</v>
      </c>
    </row>
    <row r="306" spans="1:11">
      <c r="A306" s="137">
        <v>43373</v>
      </c>
      <c r="B306" s="47">
        <v>-1341307</v>
      </c>
      <c r="C306" s="47">
        <f t="shared" si="92"/>
        <v>191560.9947166669</v>
      </c>
      <c r="D306" s="47">
        <f t="shared" si="93"/>
        <v>-1149746.0052833331</v>
      </c>
      <c r="E306" s="41">
        <f t="shared" si="94"/>
        <v>214076.6434761165</v>
      </c>
      <c r="F306" s="140">
        <f t="shared" si="95"/>
        <v>-1341307</v>
      </c>
      <c r="G306" s="47">
        <f t="shared" si="96"/>
        <v>-191560.9947166669</v>
      </c>
      <c r="H306" s="52">
        <f t="shared" si="97"/>
        <v>214076.6434761165</v>
      </c>
      <c r="I306" s="505">
        <f t="shared" si="88"/>
        <v>-3297.3797083333334</v>
      </c>
      <c r="J306" s="47">
        <f t="shared" si="98"/>
        <v>-1034382.4257249996</v>
      </c>
      <c r="K306" s="47">
        <f t="shared" si="99"/>
        <v>-306924.57427500054</v>
      </c>
    </row>
    <row r="307" spans="1:11">
      <c r="A307" s="137">
        <v>43404</v>
      </c>
      <c r="B307" s="47">
        <v>-1341307</v>
      </c>
      <c r="C307" s="47">
        <f t="shared" si="92"/>
        <v>193897.10440833357</v>
      </c>
      <c r="D307" s="47">
        <f t="shared" si="93"/>
        <v>-1147409.8955916665</v>
      </c>
      <c r="E307" s="41">
        <f t="shared" si="94"/>
        <v>214320.8060603498</v>
      </c>
      <c r="F307" s="140">
        <f t="shared" si="95"/>
        <v>-1341307</v>
      </c>
      <c r="G307" s="47">
        <f t="shared" si="96"/>
        <v>-193897.10440833357</v>
      </c>
      <c r="H307" s="52">
        <f t="shared" si="97"/>
        <v>214320.8060603498</v>
      </c>
      <c r="I307" s="505">
        <f t="shared" si="88"/>
        <v>-3297.3797083333334</v>
      </c>
      <c r="J307" s="47">
        <f t="shared" si="98"/>
        <v>-1037679.8054333329</v>
      </c>
      <c r="K307" s="47">
        <f t="shared" si="99"/>
        <v>-303627.1945666672</v>
      </c>
    </row>
    <row r="308" spans="1:11">
      <c r="A308" s="137">
        <v>43434</v>
      </c>
      <c r="B308" s="47">
        <v>-1341307</v>
      </c>
      <c r="C308" s="47">
        <f t="shared" si="92"/>
        <v>196233.21410000024</v>
      </c>
      <c r="D308" s="47">
        <f t="shared" si="93"/>
        <v>-1145073.7858999998</v>
      </c>
      <c r="E308" s="41">
        <f t="shared" si="94"/>
        <v>214564.96864458313</v>
      </c>
      <c r="F308" s="140">
        <f t="shared" si="95"/>
        <v>-1341307</v>
      </c>
      <c r="G308" s="47">
        <f t="shared" si="96"/>
        <v>-196233.21410000024</v>
      </c>
      <c r="H308" s="52">
        <f t="shared" si="97"/>
        <v>214564.96864458313</v>
      </c>
      <c r="I308" s="505">
        <f t="shared" si="88"/>
        <v>-3297.3797083333334</v>
      </c>
      <c r="J308" s="47">
        <f t="shared" si="98"/>
        <v>-1040977.1851416662</v>
      </c>
      <c r="K308" s="47">
        <f t="shared" si="99"/>
        <v>-300329.81485833385</v>
      </c>
    </row>
    <row r="309" spans="1:11">
      <c r="A309" s="137">
        <v>43465</v>
      </c>
      <c r="B309" s="47">
        <v>-1341307</v>
      </c>
      <c r="C309" s="47">
        <f>-B309*$C$5/12+C308</f>
        <v>198569.32379166692</v>
      </c>
      <c r="D309" s="47">
        <f>+B309+C309</f>
        <v>-1142737.6762083331</v>
      </c>
      <c r="E309" s="41">
        <f t="shared" si="94"/>
        <v>214809.13122881649</v>
      </c>
      <c r="F309" s="140">
        <f>B309</f>
        <v>-1341307</v>
      </c>
      <c r="G309" s="47">
        <f>-C309</f>
        <v>-198569.32379166692</v>
      </c>
      <c r="H309" s="52">
        <f>E309</f>
        <v>214809.13122881649</v>
      </c>
      <c r="I309" s="505">
        <f t="shared" si="88"/>
        <v>-3297.3797083333334</v>
      </c>
      <c r="J309" s="47">
        <f>+I309+J308</f>
        <v>-1044274.5648499995</v>
      </c>
      <c r="K309" s="47">
        <f>+K308-I309</f>
        <v>-297032.4351500005</v>
      </c>
    </row>
    <row r="310" spans="1:11">
      <c r="A310" s="137">
        <v>43496</v>
      </c>
      <c r="B310" s="47">
        <v>-1341307</v>
      </c>
      <c r="C310" s="47">
        <f t="shared" ref="C310:C357" si="100">-B310*$C$5/12+C309</f>
        <v>200905.43348333359</v>
      </c>
      <c r="D310" s="47">
        <f t="shared" ref="D310:D357" si="101">+B310+C310</f>
        <v>-1140401.5665166664</v>
      </c>
      <c r="E310" s="41">
        <f t="shared" si="94"/>
        <v>215054.71336295814</v>
      </c>
      <c r="F310" s="140">
        <f t="shared" ref="F310:F357" si="102">B310</f>
        <v>-1341307</v>
      </c>
      <c r="G310" s="47">
        <f t="shared" ref="G310:G357" si="103">-C310</f>
        <v>-200905.43348333359</v>
      </c>
      <c r="H310" s="52">
        <f t="shared" ref="H310:H357" si="104">E310</f>
        <v>215054.71336295814</v>
      </c>
      <c r="I310" s="505">
        <f t="shared" ref="I310:I373" si="105">+$B$225*0.02955/12</f>
        <v>-3302.9684875000003</v>
      </c>
      <c r="J310" s="47">
        <f t="shared" ref="J310:J357" si="106">+I310+J309</f>
        <v>-1047577.5333374995</v>
      </c>
      <c r="K310" s="47">
        <f t="shared" ref="K310:K357" si="107">+K309-I310</f>
        <v>-293729.46666250052</v>
      </c>
    </row>
    <row r="311" spans="1:11">
      <c r="A311" s="137">
        <v>43524</v>
      </c>
      <c r="B311" s="47">
        <v>-1341307</v>
      </c>
      <c r="C311" s="47">
        <f t="shared" si="100"/>
        <v>203241.54317500026</v>
      </c>
      <c r="D311" s="47">
        <f t="shared" si="101"/>
        <v>-1138065.4568249998</v>
      </c>
      <c r="E311" s="41">
        <f t="shared" si="94"/>
        <v>215300.29549709981</v>
      </c>
      <c r="F311" s="140">
        <f t="shared" si="102"/>
        <v>-1341307</v>
      </c>
      <c r="G311" s="47">
        <f t="shared" si="103"/>
        <v>-203241.54317500026</v>
      </c>
      <c r="H311" s="52">
        <f t="shared" si="104"/>
        <v>215300.29549709981</v>
      </c>
      <c r="I311" s="505">
        <f t="shared" si="105"/>
        <v>-3302.9684875000003</v>
      </c>
      <c r="J311" s="47">
        <f t="shared" si="106"/>
        <v>-1050880.5018249995</v>
      </c>
      <c r="K311" s="47">
        <f t="shared" si="107"/>
        <v>-290426.49817500054</v>
      </c>
    </row>
    <row r="312" spans="1:11">
      <c r="A312" s="137">
        <v>43555</v>
      </c>
      <c r="B312" s="47">
        <v>-1341307</v>
      </c>
      <c r="C312" s="47">
        <f t="shared" si="100"/>
        <v>205577.65286666693</v>
      </c>
      <c r="D312" s="47">
        <f t="shared" si="101"/>
        <v>-1135729.3471333331</v>
      </c>
      <c r="E312" s="41">
        <f t="shared" si="94"/>
        <v>215545.87763124146</v>
      </c>
      <c r="F312" s="140">
        <f t="shared" si="102"/>
        <v>-1341307</v>
      </c>
      <c r="G312" s="47">
        <f t="shared" si="103"/>
        <v>-205577.65286666693</v>
      </c>
      <c r="H312" s="52">
        <f t="shared" si="104"/>
        <v>215545.87763124146</v>
      </c>
      <c r="I312" s="505">
        <f t="shared" si="105"/>
        <v>-3302.9684875000003</v>
      </c>
      <c r="J312" s="47">
        <f t="shared" si="106"/>
        <v>-1054183.4703124994</v>
      </c>
      <c r="K312" s="47">
        <f t="shared" si="107"/>
        <v>-287123.52968750056</v>
      </c>
    </row>
    <row r="313" spans="1:11">
      <c r="A313" s="137">
        <v>43585</v>
      </c>
      <c r="B313" s="47">
        <v>-1341307</v>
      </c>
      <c r="C313" s="47">
        <f t="shared" si="100"/>
        <v>207913.7625583336</v>
      </c>
      <c r="D313" s="47">
        <f t="shared" si="101"/>
        <v>-1133393.2374416664</v>
      </c>
      <c r="E313" s="41">
        <f t="shared" si="94"/>
        <v>215791.45976538313</v>
      </c>
      <c r="F313" s="140">
        <f t="shared" si="102"/>
        <v>-1341307</v>
      </c>
      <c r="G313" s="47">
        <f t="shared" si="103"/>
        <v>-207913.7625583336</v>
      </c>
      <c r="H313" s="52">
        <f t="shared" si="104"/>
        <v>215791.45976538313</v>
      </c>
      <c r="I313" s="505">
        <f t="shared" si="105"/>
        <v>-3302.9684875000003</v>
      </c>
      <c r="J313" s="47">
        <f t="shared" si="106"/>
        <v>-1057486.4387999994</v>
      </c>
      <c r="K313" s="47">
        <f t="shared" si="107"/>
        <v>-283820.56120000058</v>
      </c>
    </row>
    <row r="314" spans="1:11">
      <c r="A314" s="137">
        <v>43616</v>
      </c>
      <c r="B314" s="47">
        <v>-1341307</v>
      </c>
      <c r="C314" s="47">
        <f t="shared" si="100"/>
        <v>210249.87225000028</v>
      </c>
      <c r="D314" s="47">
        <f t="shared" si="101"/>
        <v>-1131057.1277499998</v>
      </c>
      <c r="E314" s="41">
        <f t="shared" si="94"/>
        <v>216037.04189952477</v>
      </c>
      <c r="F314" s="140">
        <f t="shared" si="102"/>
        <v>-1341307</v>
      </c>
      <c r="G314" s="47">
        <f t="shared" si="103"/>
        <v>-210249.87225000028</v>
      </c>
      <c r="H314" s="52">
        <f t="shared" si="104"/>
        <v>216037.04189952477</v>
      </c>
      <c r="I314" s="505">
        <f t="shared" si="105"/>
        <v>-3302.9684875000003</v>
      </c>
      <c r="J314" s="47">
        <f t="shared" si="106"/>
        <v>-1060789.4072874994</v>
      </c>
      <c r="K314" s="47">
        <f t="shared" si="107"/>
        <v>-280517.5927125006</v>
      </c>
    </row>
    <row r="315" spans="1:11">
      <c r="A315" s="137">
        <v>43646</v>
      </c>
      <c r="B315" s="47">
        <v>-1341307</v>
      </c>
      <c r="C315" s="47">
        <f t="shared" si="100"/>
        <v>212585.98194166695</v>
      </c>
      <c r="D315" s="47">
        <f t="shared" si="101"/>
        <v>-1128721.0180583331</v>
      </c>
      <c r="E315" s="41">
        <f t="shared" si="94"/>
        <v>216282.62403366645</v>
      </c>
      <c r="F315" s="140">
        <f t="shared" si="102"/>
        <v>-1341307</v>
      </c>
      <c r="G315" s="47">
        <f t="shared" si="103"/>
        <v>-212585.98194166695</v>
      </c>
      <c r="H315" s="52">
        <f t="shared" si="104"/>
        <v>216282.62403366645</v>
      </c>
      <c r="I315" s="505">
        <f t="shared" si="105"/>
        <v>-3302.9684875000003</v>
      </c>
      <c r="J315" s="47">
        <f t="shared" si="106"/>
        <v>-1064092.3757749994</v>
      </c>
      <c r="K315" s="47">
        <f t="shared" si="107"/>
        <v>-277214.62422500062</v>
      </c>
    </row>
    <row r="316" spans="1:11">
      <c r="A316" s="137">
        <v>43677</v>
      </c>
      <c r="B316" s="47">
        <v>-1341307</v>
      </c>
      <c r="C316" s="47">
        <f t="shared" si="100"/>
        <v>214922.09163333362</v>
      </c>
      <c r="D316" s="47">
        <f t="shared" si="101"/>
        <v>-1126384.9083666664</v>
      </c>
      <c r="E316" s="41">
        <f t="shared" si="94"/>
        <v>216528.20616780812</v>
      </c>
      <c r="F316" s="140">
        <f t="shared" si="102"/>
        <v>-1341307</v>
      </c>
      <c r="G316" s="47">
        <f t="shared" si="103"/>
        <v>-214922.09163333362</v>
      </c>
      <c r="H316" s="52">
        <f t="shared" si="104"/>
        <v>216528.20616780812</v>
      </c>
      <c r="I316" s="505">
        <f t="shared" si="105"/>
        <v>-3302.9684875000003</v>
      </c>
      <c r="J316" s="47">
        <f t="shared" si="106"/>
        <v>-1067395.3442624994</v>
      </c>
      <c r="K316" s="47">
        <f t="shared" si="107"/>
        <v>-273911.65573750064</v>
      </c>
    </row>
    <row r="317" spans="1:11">
      <c r="A317" s="137">
        <v>43708</v>
      </c>
      <c r="B317" s="47">
        <v>-1341307</v>
      </c>
      <c r="C317" s="47">
        <f t="shared" si="100"/>
        <v>217258.20132500029</v>
      </c>
      <c r="D317" s="47">
        <f t="shared" si="101"/>
        <v>-1124048.7986749997</v>
      </c>
      <c r="E317" s="41">
        <f t="shared" si="94"/>
        <v>216773.78830194977</v>
      </c>
      <c r="F317" s="140">
        <f t="shared" si="102"/>
        <v>-1341307</v>
      </c>
      <c r="G317" s="47">
        <f t="shared" si="103"/>
        <v>-217258.20132500029</v>
      </c>
      <c r="H317" s="52">
        <f t="shared" si="104"/>
        <v>216773.78830194977</v>
      </c>
      <c r="I317" s="505">
        <f t="shared" si="105"/>
        <v>-3302.9684875000003</v>
      </c>
      <c r="J317" s="47">
        <f t="shared" si="106"/>
        <v>-1070698.3127499993</v>
      </c>
      <c r="K317" s="47">
        <f t="shared" si="107"/>
        <v>-270608.68725000066</v>
      </c>
    </row>
    <row r="318" spans="1:11">
      <c r="A318" s="137">
        <v>43738</v>
      </c>
      <c r="B318" s="47">
        <v>-1341307</v>
      </c>
      <c r="C318" s="47">
        <f t="shared" si="100"/>
        <v>219594.31101666696</v>
      </c>
      <c r="D318" s="47">
        <f t="shared" si="101"/>
        <v>-1121712.6889833331</v>
      </c>
      <c r="E318" s="41">
        <f t="shared" si="94"/>
        <v>217019.37043609144</v>
      </c>
      <c r="F318" s="140">
        <f t="shared" si="102"/>
        <v>-1341307</v>
      </c>
      <c r="G318" s="47">
        <f t="shared" si="103"/>
        <v>-219594.31101666696</v>
      </c>
      <c r="H318" s="52">
        <f t="shared" si="104"/>
        <v>217019.37043609144</v>
      </c>
      <c r="I318" s="505">
        <f t="shared" si="105"/>
        <v>-3302.9684875000003</v>
      </c>
      <c r="J318" s="47">
        <f t="shared" si="106"/>
        <v>-1074001.2812374993</v>
      </c>
      <c r="K318" s="47">
        <f t="shared" si="107"/>
        <v>-267305.71876250068</v>
      </c>
    </row>
    <row r="319" spans="1:11">
      <c r="A319" s="137">
        <v>43769</v>
      </c>
      <c r="B319" s="47">
        <v>-1341307</v>
      </c>
      <c r="C319" s="47">
        <f t="shared" si="100"/>
        <v>221930.42070833364</v>
      </c>
      <c r="D319" s="47">
        <f t="shared" si="101"/>
        <v>-1119376.5792916664</v>
      </c>
      <c r="E319" s="41">
        <f t="shared" si="94"/>
        <v>217264.95257023309</v>
      </c>
      <c r="F319" s="140">
        <f t="shared" si="102"/>
        <v>-1341307</v>
      </c>
      <c r="G319" s="47">
        <f t="shared" si="103"/>
        <v>-221930.42070833364</v>
      </c>
      <c r="H319" s="52">
        <f t="shared" si="104"/>
        <v>217264.95257023309</v>
      </c>
      <c r="I319" s="505">
        <f t="shared" si="105"/>
        <v>-3302.9684875000003</v>
      </c>
      <c r="J319" s="47">
        <f t="shared" si="106"/>
        <v>-1077304.2497249993</v>
      </c>
      <c r="K319" s="47">
        <f t="shared" si="107"/>
        <v>-264002.7502750007</v>
      </c>
    </row>
    <row r="320" spans="1:11">
      <c r="A320" s="137">
        <v>43799</v>
      </c>
      <c r="B320" s="47">
        <v>-1341307</v>
      </c>
      <c r="C320" s="47">
        <f t="shared" si="100"/>
        <v>224266.53040000031</v>
      </c>
      <c r="D320" s="47">
        <f t="shared" si="101"/>
        <v>-1117040.4695999997</v>
      </c>
      <c r="E320" s="41">
        <f t="shared" si="94"/>
        <v>217510.53470437476</v>
      </c>
      <c r="F320" s="140">
        <f t="shared" si="102"/>
        <v>-1341307</v>
      </c>
      <c r="G320" s="47">
        <f t="shared" si="103"/>
        <v>-224266.53040000031</v>
      </c>
      <c r="H320" s="52">
        <f t="shared" si="104"/>
        <v>217510.53470437476</v>
      </c>
      <c r="I320" s="505">
        <f t="shared" si="105"/>
        <v>-3302.9684875000003</v>
      </c>
      <c r="J320" s="47">
        <f t="shared" si="106"/>
        <v>-1080607.2182124993</v>
      </c>
      <c r="K320" s="47">
        <f t="shared" si="107"/>
        <v>-260699.78178750069</v>
      </c>
    </row>
    <row r="321" spans="1:11">
      <c r="A321" s="137">
        <v>43830</v>
      </c>
      <c r="B321" s="47">
        <v>-1341307</v>
      </c>
      <c r="C321" s="47">
        <f t="shared" si="100"/>
        <v>226602.64009166698</v>
      </c>
      <c r="D321" s="47">
        <f t="shared" si="101"/>
        <v>-1114704.359908333</v>
      </c>
      <c r="E321" s="41">
        <f t="shared" si="94"/>
        <v>217756.11683851641</v>
      </c>
      <c r="F321" s="140">
        <f t="shared" si="102"/>
        <v>-1341307</v>
      </c>
      <c r="G321" s="47">
        <f t="shared" si="103"/>
        <v>-226602.64009166698</v>
      </c>
      <c r="H321" s="52">
        <f t="shared" si="104"/>
        <v>217756.11683851641</v>
      </c>
      <c r="I321" s="505">
        <f t="shared" si="105"/>
        <v>-3302.9684875000003</v>
      </c>
      <c r="J321" s="47">
        <f t="shared" si="106"/>
        <v>-1083910.1866999993</v>
      </c>
      <c r="K321" s="47">
        <f t="shared" si="107"/>
        <v>-257396.81330000068</v>
      </c>
    </row>
    <row r="322" spans="1:11">
      <c r="A322" s="137">
        <v>43861</v>
      </c>
      <c r="B322" s="47">
        <v>-1341307</v>
      </c>
      <c r="C322" s="47">
        <f t="shared" si="100"/>
        <v>228938.74978333365</v>
      </c>
      <c r="D322" s="47">
        <f t="shared" si="101"/>
        <v>-1112368.2502166664</v>
      </c>
      <c r="E322" s="41">
        <f t="shared" si="94"/>
        <v>218001.69897265811</v>
      </c>
      <c r="F322" s="140">
        <f t="shared" si="102"/>
        <v>-1341307</v>
      </c>
      <c r="G322" s="47">
        <f t="shared" si="103"/>
        <v>-228938.74978333365</v>
      </c>
      <c r="H322" s="52">
        <f t="shared" si="104"/>
        <v>218001.69897265811</v>
      </c>
      <c r="I322" s="505">
        <f t="shared" si="105"/>
        <v>-3302.9684875000003</v>
      </c>
      <c r="J322" s="47">
        <f t="shared" si="106"/>
        <v>-1087213.1551874992</v>
      </c>
      <c r="K322" s="47">
        <f t="shared" si="107"/>
        <v>-254093.84481250067</v>
      </c>
    </row>
    <row r="323" spans="1:11">
      <c r="A323" s="137">
        <v>43890</v>
      </c>
      <c r="B323" s="47">
        <v>-1341307</v>
      </c>
      <c r="C323" s="47">
        <f t="shared" si="100"/>
        <v>231274.85947500032</v>
      </c>
      <c r="D323" s="47">
        <f t="shared" si="101"/>
        <v>-1110032.1405249997</v>
      </c>
      <c r="E323" s="41">
        <f t="shared" si="94"/>
        <v>218247.28110679975</v>
      </c>
      <c r="F323" s="140">
        <f t="shared" si="102"/>
        <v>-1341307</v>
      </c>
      <c r="G323" s="47">
        <f t="shared" si="103"/>
        <v>-231274.85947500032</v>
      </c>
      <c r="H323" s="52">
        <f t="shared" si="104"/>
        <v>218247.28110679975</v>
      </c>
      <c r="I323" s="505">
        <f t="shared" si="105"/>
        <v>-3302.9684875000003</v>
      </c>
      <c r="J323" s="47">
        <f t="shared" si="106"/>
        <v>-1090516.1236749992</v>
      </c>
      <c r="K323" s="47">
        <f t="shared" si="107"/>
        <v>-250790.87632500066</v>
      </c>
    </row>
    <row r="324" spans="1:11">
      <c r="A324" s="137">
        <v>43921</v>
      </c>
      <c r="B324" s="47">
        <v>-1341307</v>
      </c>
      <c r="C324" s="47">
        <f t="shared" si="100"/>
        <v>233610.969166667</v>
      </c>
      <c r="D324" s="47">
        <f t="shared" si="101"/>
        <v>-1107696.030833333</v>
      </c>
      <c r="E324" s="41">
        <f t="shared" si="94"/>
        <v>218492.86324094143</v>
      </c>
      <c r="F324" s="140">
        <f t="shared" si="102"/>
        <v>-1341307</v>
      </c>
      <c r="G324" s="47">
        <f t="shared" si="103"/>
        <v>-233610.969166667</v>
      </c>
      <c r="H324" s="52">
        <f t="shared" si="104"/>
        <v>218492.86324094143</v>
      </c>
      <c r="I324" s="505">
        <f t="shared" si="105"/>
        <v>-3302.9684875000003</v>
      </c>
      <c r="J324" s="47">
        <f t="shared" si="106"/>
        <v>-1093819.0921624992</v>
      </c>
      <c r="K324" s="47">
        <f t="shared" si="107"/>
        <v>-247487.90783750065</v>
      </c>
    </row>
    <row r="325" spans="1:11">
      <c r="A325" s="137">
        <v>43951</v>
      </c>
      <c r="B325" s="47">
        <v>-1341307</v>
      </c>
      <c r="C325" s="47">
        <f t="shared" si="100"/>
        <v>235947.07885833367</v>
      </c>
      <c r="D325" s="47">
        <f t="shared" si="101"/>
        <v>-1105359.9211416664</v>
      </c>
      <c r="E325" s="41">
        <f t="shared" si="94"/>
        <v>218738.4453750831</v>
      </c>
      <c r="F325" s="140">
        <f t="shared" si="102"/>
        <v>-1341307</v>
      </c>
      <c r="G325" s="47">
        <f t="shared" si="103"/>
        <v>-235947.07885833367</v>
      </c>
      <c r="H325" s="52">
        <f t="shared" si="104"/>
        <v>218738.4453750831</v>
      </c>
      <c r="I325" s="505">
        <f t="shared" si="105"/>
        <v>-3302.9684875000003</v>
      </c>
      <c r="J325" s="47">
        <f t="shared" si="106"/>
        <v>-1097122.0606499992</v>
      </c>
      <c r="K325" s="47">
        <f t="shared" si="107"/>
        <v>-244184.93935000064</v>
      </c>
    </row>
    <row r="326" spans="1:11">
      <c r="A326" s="137">
        <v>43982</v>
      </c>
      <c r="B326" s="47">
        <v>-1341307</v>
      </c>
      <c r="C326" s="47">
        <f t="shared" si="100"/>
        <v>238283.18855000034</v>
      </c>
      <c r="D326" s="47">
        <f t="shared" si="101"/>
        <v>-1103023.8114499997</v>
      </c>
      <c r="E326" s="41">
        <f t="shared" si="94"/>
        <v>218984.02750922478</v>
      </c>
      <c r="F326" s="140">
        <f t="shared" si="102"/>
        <v>-1341307</v>
      </c>
      <c r="G326" s="47">
        <f t="shared" si="103"/>
        <v>-238283.18855000034</v>
      </c>
      <c r="H326" s="52">
        <f t="shared" si="104"/>
        <v>218984.02750922478</v>
      </c>
      <c r="I326" s="505">
        <f t="shared" si="105"/>
        <v>-3302.9684875000003</v>
      </c>
      <c r="J326" s="47">
        <f t="shared" si="106"/>
        <v>-1100425.0291374992</v>
      </c>
      <c r="K326" s="47">
        <f t="shared" si="107"/>
        <v>-240881.97086250063</v>
      </c>
    </row>
    <row r="327" spans="1:11">
      <c r="A327" s="137">
        <v>44012</v>
      </c>
      <c r="B327" s="47">
        <v>-1341307</v>
      </c>
      <c r="C327" s="47">
        <f t="shared" si="100"/>
        <v>240619.29824166701</v>
      </c>
      <c r="D327" s="47">
        <f t="shared" si="101"/>
        <v>-1100687.701758333</v>
      </c>
      <c r="E327" s="41">
        <f t="shared" si="94"/>
        <v>219229.60964336642</v>
      </c>
      <c r="F327" s="140">
        <f t="shared" si="102"/>
        <v>-1341307</v>
      </c>
      <c r="G327" s="47">
        <f t="shared" si="103"/>
        <v>-240619.29824166701</v>
      </c>
      <c r="H327" s="52">
        <f t="shared" si="104"/>
        <v>219229.60964336642</v>
      </c>
      <c r="I327" s="505">
        <f t="shared" si="105"/>
        <v>-3302.9684875000003</v>
      </c>
      <c r="J327" s="47">
        <f t="shared" si="106"/>
        <v>-1103727.9976249991</v>
      </c>
      <c r="K327" s="47">
        <f t="shared" si="107"/>
        <v>-237579.00237500062</v>
      </c>
    </row>
    <row r="328" spans="1:11">
      <c r="A328" s="137">
        <v>44043</v>
      </c>
      <c r="B328" s="47">
        <v>-1341307</v>
      </c>
      <c r="C328" s="47">
        <f t="shared" si="100"/>
        <v>242955.40793333368</v>
      </c>
      <c r="D328" s="47">
        <f t="shared" si="101"/>
        <v>-1098351.5920666663</v>
      </c>
      <c r="E328" s="41">
        <f t="shared" si="94"/>
        <v>219475.19177750809</v>
      </c>
      <c r="F328" s="140">
        <f t="shared" si="102"/>
        <v>-1341307</v>
      </c>
      <c r="G328" s="47">
        <f t="shared" si="103"/>
        <v>-242955.40793333368</v>
      </c>
      <c r="H328" s="52">
        <f t="shared" si="104"/>
        <v>219475.19177750809</v>
      </c>
      <c r="I328" s="505">
        <f t="shared" si="105"/>
        <v>-3302.9684875000003</v>
      </c>
      <c r="J328" s="47">
        <f t="shared" si="106"/>
        <v>-1107030.9661124991</v>
      </c>
      <c r="K328" s="47">
        <f t="shared" si="107"/>
        <v>-234276.03388750061</v>
      </c>
    </row>
    <row r="329" spans="1:11">
      <c r="A329" s="137">
        <v>44074</v>
      </c>
      <c r="B329" s="47">
        <v>-1341307</v>
      </c>
      <c r="C329" s="47">
        <f t="shared" si="100"/>
        <v>245291.51762500036</v>
      </c>
      <c r="D329" s="47">
        <f t="shared" si="101"/>
        <v>-1096015.4823749997</v>
      </c>
      <c r="E329" s="41">
        <f t="shared" si="94"/>
        <v>219720.77391164974</v>
      </c>
      <c r="F329" s="140">
        <f t="shared" si="102"/>
        <v>-1341307</v>
      </c>
      <c r="G329" s="47">
        <f t="shared" si="103"/>
        <v>-245291.51762500036</v>
      </c>
      <c r="H329" s="52">
        <f t="shared" si="104"/>
        <v>219720.77391164974</v>
      </c>
      <c r="I329" s="505">
        <f t="shared" si="105"/>
        <v>-3302.9684875000003</v>
      </c>
      <c r="J329" s="47">
        <f t="shared" si="106"/>
        <v>-1110333.9345999991</v>
      </c>
      <c r="K329" s="47">
        <f t="shared" si="107"/>
        <v>-230973.0654000006</v>
      </c>
    </row>
    <row r="330" spans="1:11">
      <c r="A330" s="137">
        <v>44104</v>
      </c>
      <c r="B330" s="47">
        <v>-1341307</v>
      </c>
      <c r="C330" s="47">
        <f t="shared" si="100"/>
        <v>247627.62731666703</v>
      </c>
      <c r="D330" s="47">
        <f t="shared" si="101"/>
        <v>-1093679.372683333</v>
      </c>
      <c r="E330" s="41">
        <f t="shared" si="94"/>
        <v>219966.35604579144</v>
      </c>
      <c r="F330" s="140">
        <f t="shared" si="102"/>
        <v>-1341307</v>
      </c>
      <c r="G330" s="47">
        <f t="shared" si="103"/>
        <v>-247627.62731666703</v>
      </c>
      <c r="H330" s="52">
        <f t="shared" si="104"/>
        <v>219966.35604579144</v>
      </c>
      <c r="I330" s="505">
        <f t="shared" si="105"/>
        <v>-3302.9684875000003</v>
      </c>
      <c r="J330" s="47">
        <f t="shared" si="106"/>
        <v>-1113636.9030874991</v>
      </c>
      <c r="K330" s="47">
        <f t="shared" si="107"/>
        <v>-227670.09691250059</v>
      </c>
    </row>
    <row r="331" spans="1:11">
      <c r="A331" s="137">
        <v>44135</v>
      </c>
      <c r="B331" s="47">
        <v>-1341307</v>
      </c>
      <c r="C331" s="47">
        <f t="shared" si="100"/>
        <v>249963.7370083337</v>
      </c>
      <c r="D331" s="47">
        <f t="shared" si="101"/>
        <v>-1091343.2629916663</v>
      </c>
      <c r="E331" s="41">
        <f t="shared" si="94"/>
        <v>220211.93817993309</v>
      </c>
      <c r="F331" s="140">
        <f t="shared" si="102"/>
        <v>-1341307</v>
      </c>
      <c r="G331" s="47">
        <f t="shared" si="103"/>
        <v>-249963.7370083337</v>
      </c>
      <c r="H331" s="52">
        <f t="shared" si="104"/>
        <v>220211.93817993309</v>
      </c>
      <c r="I331" s="505">
        <f t="shared" si="105"/>
        <v>-3302.9684875000003</v>
      </c>
      <c r="J331" s="47">
        <f t="shared" si="106"/>
        <v>-1116939.8715749991</v>
      </c>
      <c r="K331" s="47">
        <f t="shared" si="107"/>
        <v>-224367.12842500058</v>
      </c>
    </row>
    <row r="332" spans="1:11">
      <c r="A332" s="137">
        <v>44165</v>
      </c>
      <c r="B332" s="47">
        <v>-1341307</v>
      </c>
      <c r="C332" s="47">
        <f t="shared" si="100"/>
        <v>252299.84670000037</v>
      </c>
      <c r="D332" s="47">
        <f t="shared" si="101"/>
        <v>-1089007.1532999997</v>
      </c>
      <c r="E332" s="41">
        <f t="shared" si="94"/>
        <v>220457.52031407476</v>
      </c>
      <c r="F332" s="140">
        <f t="shared" si="102"/>
        <v>-1341307</v>
      </c>
      <c r="G332" s="47">
        <f t="shared" si="103"/>
        <v>-252299.84670000037</v>
      </c>
      <c r="H332" s="52">
        <f t="shared" si="104"/>
        <v>220457.52031407476</v>
      </c>
      <c r="I332" s="505">
        <f t="shared" si="105"/>
        <v>-3302.9684875000003</v>
      </c>
      <c r="J332" s="47">
        <f t="shared" si="106"/>
        <v>-1120242.840062499</v>
      </c>
      <c r="K332" s="47">
        <f t="shared" si="107"/>
        <v>-221064.15993750058</v>
      </c>
    </row>
    <row r="333" spans="1:11">
      <c r="A333" s="137">
        <v>44196</v>
      </c>
      <c r="B333" s="47">
        <v>-1341307</v>
      </c>
      <c r="C333" s="47">
        <f t="shared" si="100"/>
        <v>254635.95639166704</v>
      </c>
      <c r="D333" s="47">
        <f t="shared" si="101"/>
        <v>-1086671.043608333</v>
      </c>
      <c r="E333" s="41">
        <f t="shared" si="94"/>
        <v>220703.10244821646</v>
      </c>
      <c r="F333" s="140">
        <f t="shared" si="102"/>
        <v>-1341307</v>
      </c>
      <c r="G333" s="47">
        <f t="shared" si="103"/>
        <v>-254635.95639166704</v>
      </c>
      <c r="H333" s="52">
        <f t="shared" si="104"/>
        <v>220703.10244821646</v>
      </c>
      <c r="I333" s="505">
        <f t="shared" si="105"/>
        <v>-3302.9684875000003</v>
      </c>
      <c r="J333" s="47">
        <f t="shared" si="106"/>
        <v>-1123545.808549999</v>
      </c>
      <c r="K333" s="47">
        <f t="shared" si="107"/>
        <v>-217761.19145000057</v>
      </c>
    </row>
    <row r="334" spans="1:11">
      <c r="A334" s="137">
        <v>44227</v>
      </c>
      <c r="B334" s="47">
        <v>-1341307</v>
      </c>
      <c r="C334" s="47">
        <f t="shared" si="100"/>
        <v>256972.06608333372</v>
      </c>
      <c r="D334" s="47">
        <f t="shared" si="101"/>
        <v>-1084334.9339166663</v>
      </c>
      <c r="E334" s="41">
        <f t="shared" si="94"/>
        <v>220948.68458235811</v>
      </c>
      <c r="F334" s="140">
        <f t="shared" si="102"/>
        <v>-1341307</v>
      </c>
      <c r="G334" s="47">
        <f t="shared" si="103"/>
        <v>-256972.06608333372</v>
      </c>
      <c r="H334" s="52">
        <f t="shared" si="104"/>
        <v>220948.68458235811</v>
      </c>
      <c r="I334" s="505">
        <f t="shared" si="105"/>
        <v>-3302.9684875000003</v>
      </c>
      <c r="J334" s="47">
        <f t="shared" si="106"/>
        <v>-1126848.777037499</v>
      </c>
      <c r="K334" s="47">
        <f t="shared" si="107"/>
        <v>-214458.22296250056</v>
      </c>
    </row>
    <row r="335" spans="1:11">
      <c r="A335" s="137" t="s">
        <v>1669</v>
      </c>
      <c r="B335" s="47">
        <v>-1341307</v>
      </c>
      <c r="C335" s="47">
        <f t="shared" si="100"/>
        <v>259308.17577500039</v>
      </c>
      <c r="D335" s="47">
        <f t="shared" si="101"/>
        <v>-1081998.8242249996</v>
      </c>
      <c r="E335" s="41">
        <f t="shared" si="94"/>
        <v>221194.26671649978</v>
      </c>
      <c r="F335" s="140">
        <f t="shared" si="102"/>
        <v>-1341307</v>
      </c>
      <c r="G335" s="47">
        <f t="shared" si="103"/>
        <v>-259308.17577500039</v>
      </c>
      <c r="H335" s="52">
        <f t="shared" si="104"/>
        <v>221194.26671649978</v>
      </c>
      <c r="I335" s="505">
        <f t="shared" si="105"/>
        <v>-3302.9684875000003</v>
      </c>
      <c r="J335" s="47">
        <f t="shared" si="106"/>
        <v>-1130151.745524999</v>
      </c>
      <c r="K335" s="47">
        <f t="shared" si="107"/>
        <v>-211155.25447500055</v>
      </c>
    </row>
    <row r="336" spans="1:11">
      <c r="A336" s="137">
        <v>44286</v>
      </c>
      <c r="B336" s="47">
        <v>-1341307</v>
      </c>
      <c r="C336" s="47">
        <f t="shared" si="100"/>
        <v>261644.28546666706</v>
      </c>
      <c r="D336" s="47">
        <f t="shared" si="101"/>
        <v>-1079662.714533333</v>
      </c>
      <c r="E336" s="41">
        <f t="shared" si="94"/>
        <v>221439.84885064143</v>
      </c>
      <c r="F336" s="140">
        <f t="shared" si="102"/>
        <v>-1341307</v>
      </c>
      <c r="G336" s="47">
        <f t="shared" si="103"/>
        <v>-261644.28546666706</v>
      </c>
      <c r="H336" s="52">
        <f t="shared" si="104"/>
        <v>221439.84885064143</v>
      </c>
      <c r="I336" s="505">
        <f t="shared" si="105"/>
        <v>-3302.9684875000003</v>
      </c>
      <c r="J336" s="47">
        <f t="shared" si="106"/>
        <v>-1133454.714012499</v>
      </c>
      <c r="K336" s="47">
        <f t="shared" si="107"/>
        <v>-207852.28598750054</v>
      </c>
    </row>
    <row r="337" spans="1:11">
      <c r="A337" s="137">
        <v>44316</v>
      </c>
      <c r="B337" s="47">
        <v>-1341307</v>
      </c>
      <c r="C337" s="47">
        <f t="shared" si="100"/>
        <v>263980.3951583337</v>
      </c>
      <c r="D337" s="47">
        <f t="shared" si="101"/>
        <v>-1077326.6048416663</v>
      </c>
      <c r="E337" s="41">
        <f t="shared" si="94"/>
        <v>221685.4309847831</v>
      </c>
      <c r="F337" s="140">
        <f t="shared" si="102"/>
        <v>-1341307</v>
      </c>
      <c r="G337" s="47">
        <f t="shared" si="103"/>
        <v>-263980.3951583337</v>
      </c>
      <c r="H337" s="52">
        <f t="shared" si="104"/>
        <v>221685.4309847831</v>
      </c>
      <c r="I337" s="505">
        <f t="shared" si="105"/>
        <v>-3302.9684875000003</v>
      </c>
      <c r="J337" s="47">
        <f t="shared" si="106"/>
        <v>-1136757.6824999989</v>
      </c>
      <c r="K337" s="47">
        <f t="shared" si="107"/>
        <v>-204549.31750000053</v>
      </c>
    </row>
    <row r="338" spans="1:11">
      <c r="A338" s="137">
        <v>44347</v>
      </c>
      <c r="B338" s="47">
        <v>-1341307</v>
      </c>
      <c r="C338" s="47">
        <f t="shared" si="100"/>
        <v>266316.50485000038</v>
      </c>
      <c r="D338" s="47">
        <f t="shared" si="101"/>
        <v>-1074990.4951499996</v>
      </c>
      <c r="E338" s="41">
        <f t="shared" si="94"/>
        <v>221931.01311892478</v>
      </c>
      <c r="F338" s="140">
        <f t="shared" si="102"/>
        <v>-1341307</v>
      </c>
      <c r="G338" s="47">
        <f t="shared" si="103"/>
        <v>-266316.50485000038</v>
      </c>
      <c r="H338" s="52">
        <f t="shared" si="104"/>
        <v>221931.01311892478</v>
      </c>
      <c r="I338" s="505">
        <f t="shared" si="105"/>
        <v>-3302.9684875000003</v>
      </c>
      <c r="J338" s="47">
        <f t="shared" si="106"/>
        <v>-1140060.6509874989</v>
      </c>
      <c r="K338" s="47">
        <f t="shared" si="107"/>
        <v>-201246.34901250052</v>
      </c>
    </row>
    <row r="339" spans="1:11">
      <c r="A339" s="137">
        <v>44377</v>
      </c>
      <c r="B339" s="47">
        <v>-1341307</v>
      </c>
      <c r="C339" s="47">
        <f t="shared" si="100"/>
        <v>268652.61454166705</v>
      </c>
      <c r="D339" s="47">
        <f t="shared" si="101"/>
        <v>-1072654.385458333</v>
      </c>
      <c r="E339" s="41">
        <f t="shared" si="94"/>
        <v>222176.59525306645</v>
      </c>
      <c r="F339" s="140">
        <f t="shared" si="102"/>
        <v>-1341307</v>
      </c>
      <c r="G339" s="47">
        <f t="shared" si="103"/>
        <v>-268652.61454166705</v>
      </c>
      <c r="H339" s="52">
        <f t="shared" si="104"/>
        <v>222176.59525306645</v>
      </c>
      <c r="I339" s="505">
        <f t="shared" si="105"/>
        <v>-3302.9684875000003</v>
      </c>
      <c r="J339" s="47">
        <f t="shared" si="106"/>
        <v>-1143363.6194749989</v>
      </c>
      <c r="K339" s="47">
        <f t="shared" si="107"/>
        <v>-197943.38052500051</v>
      </c>
    </row>
    <row r="340" spans="1:11">
      <c r="A340" s="137">
        <v>44408</v>
      </c>
      <c r="B340" s="47">
        <v>-1341307</v>
      </c>
      <c r="C340" s="47">
        <f t="shared" si="100"/>
        <v>270988.72423333372</v>
      </c>
      <c r="D340" s="47">
        <f t="shared" si="101"/>
        <v>-1070318.2757666663</v>
      </c>
      <c r="E340" s="41">
        <f t="shared" si="94"/>
        <v>222422.1773872081</v>
      </c>
      <c r="F340" s="140">
        <f t="shared" si="102"/>
        <v>-1341307</v>
      </c>
      <c r="G340" s="47">
        <f t="shared" si="103"/>
        <v>-270988.72423333372</v>
      </c>
      <c r="H340" s="52">
        <f t="shared" si="104"/>
        <v>222422.1773872081</v>
      </c>
      <c r="I340" s="505">
        <f t="shared" si="105"/>
        <v>-3302.9684875000003</v>
      </c>
      <c r="J340" s="47">
        <f t="shared" si="106"/>
        <v>-1146666.5879624989</v>
      </c>
      <c r="K340" s="47">
        <f t="shared" si="107"/>
        <v>-194640.4120375005</v>
      </c>
    </row>
    <row r="341" spans="1:11">
      <c r="A341" s="137">
        <v>44439</v>
      </c>
      <c r="B341" s="47">
        <v>-1341307</v>
      </c>
      <c r="C341" s="47">
        <f t="shared" si="100"/>
        <v>273324.83392500039</v>
      </c>
      <c r="D341" s="47">
        <f t="shared" si="101"/>
        <v>-1067982.1660749996</v>
      </c>
      <c r="E341" s="41">
        <f t="shared" si="94"/>
        <v>222667.7595213498</v>
      </c>
      <c r="F341" s="140">
        <f t="shared" si="102"/>
        <v>-1341307</v>
      </c>
      <c r="G341" s="47">
        <f t="shared" si="103"/>
        <v>-273324.83392500039</v>
      </c>
      <c r="H341" s="52">
        <f t="shared" si="104"/>
        <v>222667.7595213498</v>
      </c>
      <c r="I341" s="505">
        <f t="shared" si="105"/>
        <v>-3302.9684875000003</v>
      </c>
      <c r="J341" s="47">
        <f t="shared" si="106"/>
        <v>-1149969.5564499989</v>
      </c>
      <c r="K341" s="47">
        <f t="shared" si="107"/>
        <v>-191337.44355000049</v>
      </c>
    </row>
    <row r="342" spans="1:11">
      <c r="A342" s="137">
        <v>44469</v>
      </c>
      <c r="B342" s="47">
        <v>-1341307</v>
      </c>
      <c r="C342" s="47">
        <f t="shared" si="100"/>
        <v>275660.94361666706</v>
      </c>
      <c r="D342" s="47">
        <f t="shared" si="101"/>
        <v>-1065646.0563833329</v>
      </c>
      <c r="E342" s="41">
        <f t="shared" si="94"/>
        <v>222913.34165549144</v>
      </c>
      <c r="F342" s="140">
        <f t="shared" si="102"/>
        <v>-1341307</v>
      </c>
      <c r="G342" s="47">
        <f t="shared" si="103"/>
        <v>-275660.94361666706</v>
      </c>
      <c r="H342" s="52">
        <f t="shared" si="104"/>
        <v>222913.34165549144</v>
      </c>
      <c r="I342" s="505">
        <f t="shared" si="105"/>
        <v>-3302.9684875000003</v>
      </c>
      <c r="J342" s="47">
        <f t="shared" si="106"/>
        <v>-1153272.5249374988</v>
      </c>
      <c r="K342" s="47">
        <f t="shared" si="107"/>
        <v>-188034.47506250048</v>
      </c>
    </row>
    <row r="343" spans="1:11">
      <c r="A343" s="137">
        <v>44500</v>
      </c>
      <c r="B343" s="47">
        <v>-1341307</v>
      </c>
      <c r="C343" s="47">
        <f t="shared" si="100"/>
        <v>277997.05330833374</v>
      </c>
      <c r="D343" s="47">
        <f t="shared" si="101"/>
        <v>-1063309.9466916663</v>
      </c>
      <c r="E343" s="41">
        <f t="shared" si="94"/>
        <v>223158.92378963312</v>
      </c>
      <c r="F343" s="140">
        <f t="shared" si="102"/>
        <v>-1341307</v>
      </c>
      <c r="G343" s="47">
        <f t="shared" si="103"/>
        <v>-277997.05330833374</v>
      </c>
      <c r="H343" s="52">
        <f t="shared" si="104"/>
        <v>223158.92378963312</v>
      </c>
      <c r="I343" s="505">
        <f t="shared" si="105"/>
        <v>-3302.9684875000003</v>
      </c>
      <c r="J343" s="47">
        <f t="shared" si="106"/>
        <v>-1156575.4934249988</v>
      </c>
      <c r="K343" s="47">
        <f t="shared" si="107"/>
        <v>-184731.50657500047</v>
      </c>
    </row>
    <row r="344" spans="1:11">
      <c r="A344" s="137">
        <v>44530</v>
      </c>
      <c r="B344" s="47">
        <v>-1341307</v>
      </c>
      <c r="C344" s="47">
        <f t="shared" si="100"/>
        <v>280333.16300000041</v>
      </c>
      <c r="D344" s="47">
        <f t="shared" si="101"/>
        <v>-1060973.8369999996</v>
      </c>
      <c r="E344" s="41">
        <f t="shared" si="94"/>
        <v>223404.50592377476</v>
      </c>
      <c r="F344" s="140">
        <f t="shared" si="102"/>
        <v>-1341307</v>
      </c>
      <c r="G344" s="47">
        <f t="shared" si="103"/>
        <v>-280333.16300000041</v>
      </c>
      <c r="H344" s="52">
        <f t="shared" si="104"/>
        <v>223404.50592377476</v>
      </c>
      <c r="I344" s="505">
        <f t="shared" si="105"/>
        <v>-3302.9684875000003</v>
      </c>
      <c r="J344" s="47">
        <f t="shared" si="106"/>
        <v>-1159878.4619124988</v>
      </c>
      <c r="K344" s="47">
        <f t="shared" si="107"/>
        <v>-181428.53808750046</v>
      </c>
    </row>
    <row r="345" spans="1:11">
      <c r="A345" s="137">
        <v>44561</v>
      </c>
      <c r="B345" s="47">
        <v>-1341307</v>
      </c>
      <c r="C345" s="47">
        <f t="shared" si="100"/>
        <v>282669.27269166708</v>
      </c>
      <c r="D345" s="47">
        <f t="shared" si="101"/>
        <v>-1058637.7273083329</v>
      </c>
      <c r="E345" s="41">
        <f t="shared" si="94"/>
        <v>223650.08805791644</v>
      </c>
      <c r="F345" s="140">
        <f t="shared" si="102"/>
        <v>-1341307</v>
      </c>
      <c r="G345" s="47">
        <f t="shared" si="103"/>
        <v>-282669.27269166708</v>
      </c>
      <c r="H345" s="52">
        <f t="shared" si="104"/>
        <v>223650.08805791644</v>
      </c>
      <c r="I345" s="505">
        <f t="shared" si="105"/>
        <v>-3302.9684875000003</v>
      </c>
      <c r="J345" s="47">
        <f t="shared" si="106"/>
        <v>-1163181.4303999988</v>
      </c>
      <c r="K345" s="47">
        <f t="shared" si="107"/>
        <v>-178125.56960000045</v>
      </c>
    </row>
    <row r="346" spans="1:11">
      <c r="A346" s="137">
        <v>44592</v>
      </c>
      <c r="B346" s="47">
        <v>-1341307</v>
      </c>
      <c r="C346" s="47">
        <f t="shared" si="100"/>
        <v>285005.38238333375</v>
      </c>
      <c r="D346" s="47">
        <f t="shared" si="101"/>
        <v>-1056301.6176166662</v>
      </c>
      <c r="E346" s="41">
        <f t="shared" si="94"/>
        <v>223895.67019205811</v>
      </c>
      <c r="F346" s="140">
        <f t="shared" si="102"/>
        <v>-1341307</v>
      </c>
      <c r="G346" s="47">
        <f t="shared" si="103"/>
        <v>-285005.38238333375</v>
      </c>
      <c r="H346" s="52">
        <f t="shared" si="104"/>
        <v>223895.67019205811</v>
      </c>
      <c r="I346" s="505">
        <f t="shared" si="105"/>
        <v>-3302.9684875000003</v>
      </c>
      <c r="J346" s="47">
        <f t="shared" si="106"/>
        <v>-1166484.3988874988</v>
      </c>
      <c r="K346" s="47">
        <f t="shared" si="107"/>
        <v>-174822.60111250044</v>
      </c>
    </row>
    <row r="347" spans="1:11">
      <c r="A347" s="137">
        <v>44620</v>
      </c>
      <c r="B347" s="47">
        <v>-1341307</v>
      </c>
      <c r="C347" s="47">
        <f t="shared" si="100"/>
        <v>287341.49207500042</v>
      </c>
      <c r="D347" s="47">
        <f t="shared" si="101"/>
        <v>-1053965.5079249996</v>
      </c>
      <c r="E347" s="41">
        <f t="shared" si="94"/>
        <v>224141.25232619978</v>
      </c>
      <c r="F347" s="140">
        <f t="shared" si="102"/>
        <v>-1341307</v>
      </c>
      <c r="G347" s="47">
        <f t="shared" si="103"/>
        <v>-287341.49207500042</v>
      </c>
      <c r="H347" s="52">
        <f t="shared" si="104"/>
        <v>224141.25232619978</v>
      </c>
      <c r="I347" s="505">
        <f t="shared" si="105"/>
        <v>-3302.9684875000003</v>
      </c>
      <c r="J347" s="47">
        <f t="shared" si="106"/>
        <v>-1169787.3673749988</v>
      </c>
      <c r="K347" s="47">
        <f t="shared" si="107"/>
        <v>-171519.63262500043</v>
      </c>
    </row>
    <row r="348" spans="1:11">
      <c r="A348" s="137">
        <v>44651</v>
      </c>
      <c r="B348" s="47">
        <v>-1341307</v>
      </c>
      <c r="C348" s="47">
        <f t="shared" si="100"/>
        <v>289677.6017666671</v>
      </c>
      <c r="D348" s="47">
        <f t="shared" si="101"/>
        <v>-1051629.3982333329</v>
      </c>
      <c r="E348" s="41">
        <f t="shared" si="94"/>
        <v>224386.83446034146</v>
      </c>
      <c r="F348" s="140">
        <f t="shared" si="102"/>
        <v>-1341307</v>
      </c>
      <c r="G348" s="47">
        <f t="shared" si="103"/>
        <v>-289677.6017666671</v>
      </c>
      <c r="H348" s="52">
        <f t="shared" si="104"/>
        <v>224386.83446034146</v>
      </c>
      <c r="I348" s="505">
        <f t="shared" si="105"/>
        <v>-3302.9684875000003</v>
      </c>
      <c r="J348" s="47">
        <f t="shared" si="106"/>
        <v>-1173090.3358624987</v>
      </c>
      <c r="K348" s="47">
        <f t="shared" si="107"/>
        <v>-168216.66413750043</v>
      </c>
    </row>
    <row r="349" spans="1:11">
      <c r="A349" s="137">
        <v>44681</v>
      </c>
      <c r="B349" s="47">
        <v>-1341307</v>
      </c>
      <c r="C349" s="47">
        <f t="shared" si="100"/>
        <v>292013.71145833377</v>
      </c>
      <c r="D349" s="47">
        <f t="shared" si="101"/>
        <v>-1049293.2885416662</v>
      </c>
      <c r="E349" s="41">
        <f t="shared" si="94"/>
        <v>224632.41659448313</v>
      </c>
      <c r="F349" s="140">
        <f t="shared" si="102"/>
        <v>-1341307</v>
      </c>
      <c r="G349" s="47">
        <f t="shared" si="103"/>
        <v>-292013.71145833377</v>
      </c>
      <c r="H349" s="52">
        <f t="shared" si="104"/>
        <v>224632.41659448313</v>
      </c>
      <c r="I349" s="505">
        <f t="shared" si="105"/>
        <v>-3302.9684875000003</v>
      </c>
      <c r="J349" s="47">
        <f t="shared" si="106"/>
        <v>-1176393.3043499987</v>
      </c>
      <c r="K349" s="47">
        <f t="shared" si="107"/>
        <v>-164913.69565000042</v>
      </c>
    </row>
    <row r="350" spans="1:11">
      <c r="A350" s="137">
        <v>44712</v>
      </c>
      <c r="B350" s="47">
        <v>-1341307</v>
      </c>
      <c r="C350" s="47">
        <f t="shared" si="100"/>
        <v>294349.82115000044</v>
      </c>
      <c r="D350" s="47">
        <f t="shared" si="101"/>
        <v>-1046957.1788499996</v>
      </c>
      <c r="E350" s="41">
        <f t="shared" si="94"/>
        <v>224877.99872862481</v>
      </c>
      <c r="F350" s="140">
        <f t="shared" si="102"/>
        <v>-1341307</v>
      </c>
      <c r="G350" s="47">
        <f t="shared" si="103"/>
        <v>-294349.82115000044</v>
      </c>
      <c r="H350" s="52">
        <f t="shared" si="104"/>
        <v>224877.99872862481</v>
      </c>
      <c r="I350" s="505">
        <f t="shared" si="105"/>
        <v>-3302.9684875000003</v>
      </c>
      <c r="J350" s="47">
        <f t="shared" si="106"/>
        <v>-1179696.2728374987</v>
      </c>
      <c r="K350" s="47">
        <f t="shared" si="107"/>
        <v>-161610.72716250041</v>
      </c>
    </row>
    <row r="351" spans="1:11">
      <c r="A351" s="137">
        <v>44742</v>
      </c>
      <c r="B351" s="47">
        <v>-1341307</v>
      </c>
      <c r="C351" s="47">
        <f t="shared" si="100"/>
        <v>296685.93084166711</v>
      </c>
      <c r="D351" s="47">
        <f t="shared" si="101"/>
        <v>-1044621.0691583329</v>
      </c>
      <c r="E351" s="41">
        <f t="shared" si="94"/>
        <v>225123.58086276645</v>
      </c>
      <c r="F351" s="140">
        <f t="shared" si="102"/>
        <v>-1341307</v>
      </c>
      <c r="G351" s="47">
        <f t="shared" si="103"/>
        <v>-296685.93084166711</v>
      </c>
      <c r="H351" s="52">
        <f t="shared" si="104"/>
        <v>225123.58086276645</v>
      </c>
      <c r="I351" s="505">
        <f t="shared" si="105"/>
        <v>-3302.9684875000003</v>
      </c>
      <c r="J351" s="47">
        <f t="shared" si="106"/>
        <v>-1182999.2413249987</v>
      </c>
      <c r="K351" s="47">
        <f t="shared" si="107"/>
        <v>-158307.7586750004</v>
      </c>
    </row>
    <row r="352" spans="1:11">
      <c r="A352" s="137">
        <v>44773</v>
      </c>
      <c r="B352" s="47">
        <v>-1341307</v>
      </c>
      <c r="C352" s="47">
        <f t="shared" si="100"/>
        <v>299022.04053333378</v>
      </c>
      <c r="D352" s="47">
        <f t="shared" si="101"/>
        <v>-1042284.9594666662</v>
      </c>
      <c r="E352" s="41">
        <f t="shared" si="94"/>
        <v>225369.16299690813</v>
      </c>
      <c r="F352" s="140">
        <f t="shared" si="102"/>
        <v>-1341307</v>
      </c>
      <c r="G352" s="47">
        <f t="shared" si="103"/>
        <v>-299022.04053333378</v>
      </c>
      <c r="H352" s="52">
        <f t="shared" si="104"/>
        <v>225369.16299690813</v>
      </c>
      <c r="I352" s="505">
        <f t="shared" si="105"/>
        <v>-3302.9684875000003</v>
      </c>
      <c r="J352" s="47">
        <f t="shared" si="106"/>
        <v>-1186302.2098124987</v>
      </c>
      <c r="K352" s="47">
        <f t="shared" si="107"/>
        <v>-155004.79018750039</v>
      </c>
    </row>
    <row r="353" spans="1:11">
      <c r="A353" s="137">
        <v>44804</v>
      </c>
      <c r="B353" s="47">
        <v>-1341307</v>
      </c>
      <c r="C353" s="47">
        <f t="shared" si="100"/>
        <v>301358.15022500046</v>
      </c>
      <c r="D353" s="47">
        <f t="shared" si="101"/>
        <v>-1039948.8497749995</v>
      </c>
      <c r="E353" s="41">
        <f t="shared" si="94"/>
        <v>225614.74513104977</v>
      </c>
      <c r="F353" s="140">
        <f t="shared" si="102"/>
        <v>-1341307</v>
      </c>
      <c r="G353" s="47">
        <f t="shared" si="103"/>
        <v>-301358.15022500046</v>
      </c>
      <c r="H353" s="52">
        <f t="shared" si="104"/>
        <v>225614.74513104977</v>
      </c>
      <c r="I353" s="505">
        <f t="shared" si="105"/>
        <v>-3302.9684875000003</v>
      </c>
      <c r="J353" s="47">
        <f t="shared" si="106"/>
        <v>-1189605.1782999986</v>
      </c>
      <c r="K353" s="47">
        <f t="shared" si="107"/>
        <v>-151701.82170000038</v>
      </c>
    </row>
    <row r="354" spans="1:11">
      <c r="A354" s="137">
        <v>44834</v>
      </c>
      <c r="B354" s="47">
        <v>-1341307</v>
      </c>
      <c r="C354" s="47">
        <f t="shared" si="100"/>
        <v>303694.25991666713</v>
      </c>
      <c r="D354" s="47">
        <f t="shared" si="101"/>
        <v>-1037612.7400833329</v>
      </c>
      <c r="E354" s="41">
        <f t="shared" si="94"/>
        <v>225860.32726519147</v>
      </c>
      <c r="F354" s="140">
        <f t="shared" si="102"/>
        <v>-1341307</v>
      </c>
      <c r="G354" s="47">
        <f t="shared" si="103"/>
        <v>-303694.25991666713</v>
      </c>
      <c r="H354" s="52">
        <f t="shared" si="104"/>
        <v>225860.32726519147</v>
      </c>
      <c r="I354" s="505">
        <f t="shared" si="105"/>
        <v>-3302.9684875000003</v>
      </c>
      <c r="J354" s="47">
        <f t="shared" si="106"/>
        <v>-1192908.1467874986</v>
      </c>
      <c r="K354" s="47">
        <f t="shared" si="107"/>
        <v>-148398.85321250037</v>
      </c>
    </row>
    <row r="355" spans="1:11">
      <c r="A355" s="137">
        <v>44865</v>
      </c>
      <c r="B355" s="47">
        <v>-1341307</v>
      </c>
      <c r="C355" s="47">
        <f t="shared" si="100"/>
        <v>306030.3696083338</v>
      </c>
      <c r="D355" s="47">
        <f t="shared" si="101"/>
        <v>-1035276.6303916662</v>
      </c>
      <c r="E355" s="41">
        <f t="shared" si="94"/>
        <v>226105.90939933312</v>
      </c>
      <c r="F355" s="140">
        <f t="shared" si="102"/>
        <v>-1341307</v>
      </c>
      <c r="G355" s="47">
        <f t="shared" si="103"/>
        <v>-306030.3696083338</v>
      </c>
      <c r="H355" s="52">
        <f t="shared" si="104"/>
        <v>226105.90939933312</v>
      </c>
      <c r="I355" s="505">
        <f t="shared" si="105"/>
        <v>-3302.9684875000003</v>
      </c>
      <c r="J355" s="47">
        <f t="shared" si="106"/>
        <v>-1196211.1152749986</v>
      </c>
      <c r="K355" s="47">
        <f t="shared" si="107"/>
        <v>-145095.88472500036</v>
      </c>
    </row>
    <row r="356" spans="1:11">
      <c r="A356" s="137">
        <v>44895</v>
      </c>
      <c r="B356" s="47">
        <v>-1341307</v>
      </c>
      <c r="C356" s="47">
        <f t="shared" si="100"/>
        <v>308366.47930000047</v>
      </c>
      <c r="D356" s="47">
        <f t="shared" si="101"/>
        <v>-1032940.5206999995</v>
      </c>
      <c r="E356" s="41">
        <f t="shared" si="94"/>
        <v>226351.49153347479</v>
      </c>
      <c r="F356" s="140">
        <f t="shared" si="102"/>
        <v>-1341307</v>
      </c>
      <c r="G356" s="47">
        <f t="shared" si="103"/>
        <v>-308366.47930000047</v>
      </c>
      <c r="H356" s="52">
        <f t="shared" si="104"/>
        <v>226351.49153347479</v>
      </c>
      <c r="I356" s="505">
        <f t="shared" si="105"/>
        <v>-3302.9684875000003</v>
      </c>
      <c r="J356" s="47">
        <f t="shared" si="106"/>
        <v>-1199514.0837624986</v>
      </c>
      <c r="K356" s="47">
        <f t="shared" si="107"/>
        <v>-141792.91623750035</v>
      </c>
    </row>
    <row r="357" spans="1:11">
      <c r="A357" s="137">
        <v>44926</v>
      </c>
      <c r="B357" s="47">
        <v>-1341307</v>
      </c>
      <c r="C357" s="47">
        <f t="shared" si="100"/>
        <v>310702.58899166714</v>
      </c>
      <c r="D357" s="47">
        <f t="shared" si="101"/>
        <v>-1030604.4110083329</v>
      </c>
      <c r="E357" s="41">
        <f t="shared" si="94"/>
        <v>226597.07366761647</v>
      </c>
      <c r="F357" s="140">
        <f t="shared" si="102"/>
        <v>-1341307</v>
      </c>
      <c r="G357" s="47">
        <f t="shared" si="103"/>
        <v>-310702.58899166714</v>
      </c>
      <c r="H357" s="52">
        <f t="shared" si="104"/>
        <v>226597.07366761647</v>
      </c>
      <c r="I357" s="505">
        <f t="shared" si="105"/>
        <v>-3302.9684875000003</v>
      </c>
      <c r="J357" s="47">
        <f t="shared" si="106"/>
        <v>-1202817.0522499986</v>
      </c>
      <c r="K357" s="47">
        <f t="shared" si="107"/>
        <v>-138489.94775000034</v>
      </c>
    </row>
    <row r="358" spans="1:11">
      <c r="A358" s="137">
        <v>44957</v>
      </c>
      <c r="B358" s="47">
        <v>-1341307</v>
      </c>
      <c r="C358" s="47">
        <f t="shared" ref="C358:C379" si="108">-B358*$C$5/12+C357</f>
        <v>313038.69868333382</v>
      </c>
      <c r="D358" s="47">
        <f t="shared" ref="D358:D379" si="109">+B358+C358</f>
        <v>-1028268.3013166662</v>
      </c>
      <c r="E358" s="41">
        <f t="shared" ref="E358:E379" si="110">(-D358+K358)*0.254</f>
        <v>226842.65580175814</v>
      </c>
      <c r="F358" s="140">
        <f t="shared" ref="F358:F379" si="111">B358</f>
        <v>-1341307</v>
      </c>
      <c r="G358" s="47">
        <f t="shared" ref="G358:G379" si="112">-C358</f>
        <v>-313038.69868333382</v>
      </c>
      <c r="H358" s="52">
        <f t="shared" ref="H358:H379" si="113">E358</f>
        <v>226842.65580175814</v>
      </c>
      <c r="I358" s="505">
        <f t="shared" si="105"/>
        <v>-3302.9684875000003</v>
      </c>
      <c r="J358" s="47">
        <f t="shared" ref="J358:J379" si="114">+I358+J357</f>
        <v>-1206120.0207374985</v>
      </c>
      <c r="K358" s="47">
        <f t="shared" ref="K358:K379" si="115">+K357-I358</f>
        <v>-135186.97926250033</v>
      </c>
    </row>
    <row r="359" spans="1:11">
      <c r="A359" s="137">
        <v>44985</v>
      </c>
      <c r="B359" s="47">
        <v>-1341307</v>
      </c>
      <c r="C359" s="47">
        <f t="shared" si="108"/>
        <v>315374.80837500049</v>
      </c>
      <c r="D359" s="47">
        <f t="shared" si="109"/>
        <v>-1025932.1916249995</v>
      </c>
      <c r="E359" s="41">
        <f t="shared" si="110"/>
        <v>227088.23793589979</v>
      </c>
      <c r="F359" s="140">
        <f t="shared" si="111"/>
        <v>-1341307</v>
      </c>
      <c r="G359" s="47">
        <f t="shared" si="112"/>
        <v>-315374.80837500049</v>
      </c>
      <c r="H359" s="52">
        <f t="shared" si="113"/>
        <v>227088.23793589979</v>
      </c>
      <c r="I359" s="505">
        <f t="shared" si="105"/>
        <v>-3302.9684875000003</v>
      </c>
      <c r="J359" s="47">
        <f t="shared" si="114"/>
        <v>-1209422.9892249985</v>
      </c>
      <c r="K359" s="47">
        <f t="shared" si="115"/>
        <v>-131884.01077500032</v>
      </c>
    </row>
    <row r="360" spans="1:11">
      <c r="A360" s="137">
        <v>45016</v>
      </c>
      <c r="B360" s="47">
        <v>-1341307</v>
      </c>
      <c r="C360" s="47">
        <f t="shared" si="108"/>
        <v>317710.91806666716</v>
      </c>
      <c r="D360" s="47">
        <f t="shared" si="109"/>
        <v>-1023596.0819333328</v>
      </c>
      <c r="E360" s="41">
        <f t="shared" si="110"/>
        <v>227333.82007004146</v>
      </c>
      <c r="F360" s="140">
        <f t="shared" si="111"/>
        <v>-1341307</v>
      </c>
      <c r="G360" s="47">
        <f t="shared" si="112"/>
        <v>-317710.91806666716</v>
      </c>
      <c r="H360" s="52">
        <f t="shared" si="113"/>
        <v>227333.82007004146</v>
      </c>
      <c r="I360" s="505">
        <f t="shared" si="105"/>
        <v>-3302.9684875000003</v>
      </c>
      <c r="J360" s="47">
        <f t="shared" si="114"/>
        <v>-1212725.9577124985</v>
      </c>
      <c r="K360" s="47">
        <f t="shared" si="115"/>
        <v>-128581.04228750033</v>
      </c>
    </row>
    <row r="361" spans="1:11">
      <c r="A361" s="137">
        <v>45046</v>
      </c>
      <c r="B361" s="47">
        <v>-1341307</v>
      </c>
      <c r="C361" s="47">
        <f t="shared" si="108"/>
        <v>320047.02775833383</v>
      </c>
      <c r="D361" s="47">
        <f t="shared" si="109"/>
        <v>-1021259.9722416662</v>
      </c>
      <c r="E361" s="41">
        <f t="shared" si="110"/>
        <v>227579.4022041831</v>
      </c>
      <c r="F361" s="140">
        <f t="shared" si="111"/>
        <v>-1341307</v>
      </c>
      <c r="G361" s="47">
        <f t="shared" si="112"/>
        <v>-320047.02775833383</v>
      </c>
      <c r="H361" s="52">
        <f t="shared" si="113"/>
        <v>227579.4022041831</v>
      </c>
      <c r="I361" s="505">
        <f t="shared" si="105"/>
        <v>-3302.9684875000003</v>
      </c>
      <c r="J361" s="47">
        <f t="shared" si="114"/>
        <v>-1216028.9261999985</v>
      </c>
      <c r="K361" s="47">
        <f t="shared" si="115"/>
        <v>-125278.07380000033</v>
      </c>
    </row>
    <row r="362" spans="1:11">
      <c r="A362" s="137">
        <v>45077</v>
      </c>
      <c r="B362" s="47">
        <v>-1341307</v>
      </c>
      <c r="C362" s="47">
        <f t="shared" si="108"/>
        <v>322383.1374500005</v>
      </c>
      <c r="D362" s="47">
        <f t="shared" si="109"/>
        <v>-1018923.8625499995</v>
      </c>
      <c r="E362" s="41">
        <f t="shared" si="110"/>
        <v>227824.98433832478</v>
      </c>
      <c r="F362" s="140">
        <f t="shared" si="111"/>
        <v>-1341307</v>
      </c>
      <c r="G362" s="47">
        <f t="shared" si="112"/>
        <v>-322383.1374500005</v>
      </c>
      <c r="H362" s="52">
        <f t="shared" si="113"/>
        <v>227824.98433832478</v>
      </c>
      <c r="I362" s="505">
        <f t="shared" si="105"/>
        <v>-3302.9684875000003</v>
      </c>
      <c r="J362" s="47">
        <f t="shared" si="114"/>
        <v>-1219331.8946874985</v>
      </c>
      <c r="K362" s="47">
        <f t="shared" si="115"/>
        <v>-121975.10531250034</v>
      </c>
    </row>
    <row r="363" spans="1:11">
      <c r="A363" s="137">
        <v>45107</v>
      </c>
      <c r="B363" s="47">
        <v>-1341307</v>
      </c>
      <c r="C363" s="47">
        <f t="shared" si="108"/>
        <v>324719.24714166718</v>
      </c>
      <c r="D363" s="47">
        <f t="shared" si="109"/>
        <v>-1016587.7528583328</v>
      </c>
      <c r="E363" s="41">
        <f t="shared" si="110"/>
        <v>228070.56647246645</v>
      </c>
      <c r="F363" s="140">
        <f t="shared" si="111"/>
        <v>-1341307</v>
      </c>
      <c r="G363" s="47">
        <f t="shared" si="112"/>
        <v>-324719.24714166718</v>
      </c>
      <c r="H363" s="52">
        <f t="shared" si="113"/>
        <v>228070.56647246645</v>
      </c>
      <c r="I363" s="505">
        <f t="shared" si="105"/>
        <v>-3302.9684875000003</v>
      </c>
      <c r="J363" s="47">
        <f t="shared" si="114"/>
        <v>-1222634.8631749984</v>
      </c>
      <c r="K363" s="47">
        <f t="shared" si="115"/>
        <v>-118672.13682500034</v>
      </c>
    </row>
    <row r="364" spans="1:11">
      <c r="A364" s="137">
        <v>45138</v>
      </c>
      <c r="B364" s="47">
        <v>-1341307</v>
      </c>
      <c r="C364" s="47">
        <f t="shared" si="108"/>
        <v>327055.35683333385</v>
      </c>
      <c r="D364" s="47">
        <f t="shared" si="109"/>
        <v>-1014251.6431666662</v>
      </c>
      <c r="E364" s="41">
        <f t="shared" si="110"/>
        <v>228316.14860660813</v>
      </c>
      <c r="F364" s="140">
        <f t="shared" si="111"/>
        <v>-1341307</v>
      </c>
      <c r="G364" s="47">
        <f t="shared" si="112"/>
        <v>-327055.35683333385</v>
      </c>
      <c r="H364" s="52">
        <f t="shared" si="113"/>
        <v>228316.14860660813</v>
      </c>
      <c r="I364" s="505">
        <f t="shared" si="105"/>
        <v>-3302.9684875000003</v>
      </c>
      <c r="J364" s="47">
        <f t="shared" si="114"/>
        <v>-1225937.8316624984</v>
      </c>
      <c r="K364" s="47">
        <f t="shared" si="115"/>
        <v>-115369.16833750035</v>
      </c>
    </row>
    <row r="365" spans="1:11">
      <c r="A365" s="137">
        <v>45169</v>
      </c>
      <c r="B365" s="47">
        <v>-1341307</v>
      </c>
      <c r="C365" s="47">
        <f t="shared" si="108"/>
        <v>329391.46652500052</v>
      </c>
      <c r="D365" s="47">
        <f t="shared" si="109"/>
        <v>-1011915.5334749995</v>
      </c>
      <c r="E365" s="41">
        <f t="shared" si="110"/>
        <v>228561.7307407498</v>
      </c>
      <c r="F365" s="140">
        <f t="shared" si="111"/>
        <v>-1341307</v>
      </c>
      <c r="G365" s="47">
        <f t="shared" si="112"/>
        <v>-329391.46652500052</v>
      </c>
      <c r="H365" s="52">
        <f t="shared" si="113"/>
        <v>228561.7307407498</v>
      </c>
      <c r="I365" s="505">
        <f t="shared" si="105"/>
        <v>-3302.9684875000003</v>
      </c>
      <c r="J365" s="47">
        <f t="shared" si="114"/>
        <v>-1229240.8001499984</v>
      </c>
      <c r="K365" s="47">
        <f t="shared" si="115"/>
        <v>-112066.19985000035</v>
      </c>
    </row>
    <row r="366" spans="1:11">
      <c r="A366" s="137">
        <v>45199</v>
      </c>
      <c r="B366" s="47">
        <v>-1341307</v>
      </c>
      <c r="C366" s="47">
        <f t="shared" si="108"/>
        <v>331727.57621666719</v>
      </c>
      <c r="D366" s="47">
        <f t="shared" si="109"/>
        <v>-1009579.4237833328</v>
      </c>
      <c r="E366" s="41">
        <f t="shared" si="110"/>
        <v>228807.31287489145</v>
      </c>
      <c r="F366" s="140">
        <f t="shared" si="111"/>
        <v>-1341307</v>
      </c>
      <c r="G366" s="47">
        <f t="shared" si="112"/>
        <v>-331727.57621666719</v>
      </c>
      <c r="H366" s="52">
        <f t="shared" si="113"/>
        <v>228807.31287489145</v>
      </c>
      <c r="I366" s="505">
        <f t="shared" si="105"/>
        <v>-3302.9684875000003</v>
      </c>
      <c r="J366" s="47">
        <f t="shared" si="114"/>
        <v>-1232543.7686374984</v>
      </c>
      <c r="K366" s="47">
        <f t="shared" si="115"/>
        <v>-108763.23136250036</v>
      </c>
    </row>
    <row r="367" spans="1:11">
      <c r="A367" s="137">
        <v>45230</v>
      </c>
      <c r="B367" s="47">
        <v>-1341307</v>
      </c>
      <c r="C367" s="47">
        <f t="shared" si="108"/>
        <v>334063.68590833386</v>
      </c>
      <c r="D367" s="47">
        <f t="shared" si="109"/>
        <v>-1007243.3140916661</v>
      </c>
      <c r="E367" s="41">
        <f t="shared" si="110"/>
        <v>229052.89500903312</v>
      </c>
      <c r="F367" s="140">
        <f t="shared" si="111"/>
        <v>-1341307</v>
      </c>
      <c r="G367" s="47">
        <f t="shared" si="112"/>
        <v>-334063.68590833386</v>
      </c>
      <c r="H367" s="52">
        <f t="shared" si="113"/>
        <v>229052.89500903312</v>
      </c>
      <c r="I367" s="505">
        <f t="shared" si="105"/>
        <v>-3302.9684875000003</v>
      </c>
      <c r="J367" s="47">
        <f t="shared" si="114"/>
        <v>-1235846.7371249984</v>
      </c>
      <c r="K367" s="47">
        <f t="shared" si="115"/>
        <v>-105460.26287500036</v>
      </c>
    </row>
    <row r="368" spans="1:11">
      <c r="A368" s="137">
        <v>45260</v>
      </c>
      <c r="B368" s="47">
        <v>-1341307</v>
      </c>
      <c r="C368" s="47">
        <f t="shared" si="108"/>
        <v>336399.79560000054</v>
      </c>
      <c r="D368" s="47">
        <f t="shared" si="109"/>
        <v>-1004907.2043999995</v>
      </c>
      <c r="E368" s="41">
        <f t="shared" si="110"/>
        <v>229298.47714317476</v>
      </c>
      <c r="F368" s="140">
        <f t="shared" si="111"/>
        <v>-1341307</v>
      </c>
      <c r="G368" s="47">
        <f t="shared" si="112"/>
        <v>-336399.79560000054</v>
      </c>
      <c r="H368" s="52">
        <f t="shared" si="113"/>
        <v>229298.47714317476</v>
      </c>
      <c r="I368" s="505">
        <f t="shared" si="105"/>
        <v>-3302.9684875000003</v>
      </c>
      <c r="J368" s="47">
        <f t="shared" si="114"/>
        <v>-1239149.7056124983</v>
      </c>
      <c r="K368" s="47">
        <f t="shared" si="115"/>
        <v>-102157.29438750037</v>
      </c>
    </row>
    <row r="369" spans="1:11">
      <c r="A369" s="137">
        <v>45291</v>
      </c>
      <c r="B369" s="47">
        <v>-1341307</v>
      </c>
      <c r="C369" s="47">
        <f t="shared" si="108"/>
        <v>338735.90529166721</v>
      </c>
      <c r="D369" s="47">
        <f t="shared" si="109"/>
        <v>-1002571.0947083328</v>
      </c>
      <c r="E369" s="41">
        <f t="shared" si="110"/>
        <v>229544.05927731644</v>
      </c>
      <c r="F369" s="140">
        <f t="shared" si="111"/>
        <v>-1341307</v>
      </c>
      <c r="G369" s="47">
        <f t="shared" si="112"/>
        <v>-338735.90529166721</v>
      </c>
      <c r="H369" s="52">
        <f t="shared" si="113"/>
        <v>229544.05927731644</v>
      </c>
      <c r="I369" s="505">
        <f t="shared" si="105"/>
        <v>-3302.9684875000003</v>
      </c>
      <c r="J369" s="47">
        <f t="shared" si="114"/>
        <v>-1242452.6740999983</v>
      </c>
      <c r="K369" s="47">
        <f t="shared" si="115"/>
        <v>-98854.325900000375</v>
      </c>
    </row>
    <row r="370" spans="1:11">
      <c r="A370" s="137">
        <v>45322</v>
      </c>
      <c r="B370" s="47">
        <v>-1341307</v>
      </c>
      <c r="C370" s="47">
        <f t="shared" si="108"/>
        <v>341072.01498333388</v>
      </c>
      <c r="D370" s="47">
        <f t="shared" si="109"/>
        <v>-1000234.9850166661</v>
      </c>
      <c r="E370" s="41">
        <f t="shared" si="110"/>
        <v>229789.64141145808</v>
      </c>
      <c r="F370" s="140">
        <f t="shared" si="111"/>
        <v>-1341307</v>
      </c>
      <c r="G370" s="47">
        <f t="shared" si="112"/>
        <v>-341072.01498333388</v>
      </c>
      <c r="H370" s="52">
        <f t="shared" si="113"/>
        <v>229789.64141145808</v>
      </c>
      <c r="I370" s="505">
        <f t="shared" si="105"/>
        <v>-3302.9684875000003</v>
      </c>
      <c r="J370" s="47">
        <f t="shared" si="114"/>
        <v>-1245755.6425874983</v>
      </c>
      <c r="K370" s="47">
        <f t="shared" si="115"/>
        <v>-95551.35741250038</v>
      </c>
    </row>
    <row r="371" spans="1:11">
      <c r="A371" s="137">
        <v>45351</v>
      </c>
      <c r="B371" s="47">
        <v>-1341307</v>
      </c>
      <c r="C371" s="47">
        <f t="shared" si="108"/>
        <v>343408.12467500055</v>
      </c>
      <c r="D371" s="47">
        <f t="shared" si="109"/>
        <v>-997898.87532499945</v>
      </c>
      <c r="E371" s="41">
        <f t="shared" si="110"/>
        <v>230035.22354559979</v>
      </c>
      <c r="F371" s="140">
        <f t="shared" si="111"/>
        <v>-1341307</v>
      </c>
      <c r="G371" s="47">
        <f t="shared" si="112"/>
        <v>-343408.12467500055</v>
      </c>
      <c r="H371" s="52">
        <f t="shared" si="113"/>
        <v>230035.22354559979</v>
      </c>
      <c r="I371" s="505">
        <f t="shared" si="105"/>
        <v>-3302.9684875000003</v>
      </c>
      <c r="J371" s="47">
        <f t="shared" si="114"/>
        <v>-1249058.6110749983</v>
      </c>
      <c r="K371" s="47">
        <f t="shared" si="115"/>
        <v>-92248.388925000385</v>
      </c>
    </row>
    <row r="372" spans="1:11">
      <c r="A372" s="137">
        <v>45382</v>
      </c>
      <c r="B372" s="47">
        <v>-1341307</v>
      </c>
      <c r="C372" s="47">
        <f t="shared" si="108"/>
        <v>345744.23436666722</v>
      </c>
      <c r="D372" s="47">
        <f t="shared" si="109"/>
        <v>-995562.76563333278</v>
      </c>
      <c r="E372" s="41">
        <f t="shared" si="110"/>
        <v>230280.80567974143</v>
      </c>
      <c r="F372" s="140">
        <f t="shared" si="111"/>
        <v>-1341307</v>
      </c>
      <c r="G372" s="47">
        <f t="shared" si="112"/>
        <v>-345744.23436666722</v>
      </c>
      <c r="H372" s="52">
        <f t="shared" si="113"/>
        <v>230280.80567974143</v>
      </c>
      <c r="I372" s="505">
        <f t="shared" si="105"/>
        <v>-3302.9684875000003</v>
      </c>
      <c r="J372" s="47">
        <f t="shared" si="114"/>
        <v>-1252361.5795624983</v>
      </c>
      <c r="K372" s="47">
        <f t="shared" si="115"/>
        <v>-88945.42043750039</v>
      </c>
    </row>
    <row r="373" spans="1:11">
      <c r="A373" s="137">
        <v>45412</v>
      </c>
      <c r="B373" s="47">
        <v>-1341307</v>
      </c>
      <c r="C373" s="47">
        <f t="shared" si="108"/>
        <v>348080.3440583339</v>
      </c>
      <c r="D373" s="47">
        <f t="shared" si="109"/>
        <v>-993226.6559416661</v>
      </c>
      <c r="E373" s="41">
        <f t="shared" si="110"/>
        <v>230526.38781388311</v>
      </c>
      <c r="F373" s="140">
        <f t="shared" si="111"/>
        <v>-1341307</v>
      </c>
      <c r="G373" s="47">
        <f t="shared" si="112"/>
        <v>-348080.3440583339</v>
      </c>
      <c r="H373" s="52">
        <f t="shared" si="113"/>
        <v>230526.38781388311</v>
      </c>
      <c r="I373" s="505">
        <f t="shared" si="105"/>
        <v>-3302.9684875000003</v>
      </c>
      <c r="J373" s="47">
        <f t="shared" si="114"/>
        <v>-1255664.5480499982</v>
      </c>
      <c r="K373" s="47">
        <f t="shared" si="115"/>
        <v>-85642.451950000395</v>
      </c>
    </row>
    <row r="374" spans="1:11">
      <c r="A374" s="137">
        <v>45443</v>
      </c>
      <c r="B374" s="47">
        <v>-1341307</v>
      </c>
      <c r="C374" s="47">
        <f t="shared" si="108"/>
        <v>350416.45375000057</v>
      </c>
      <c r="D374" s="47">
        <f t="shared" si="109"/>
        <v>-990890.54624999943</v>
      </c>
      <c r="E374" s="41">
        <f t="shared" si="110"/>
        <v>230771.96994802475</v>
      </c>
      <c r="F374" s="140">
        <f t="shared" si="111"/>
        <v>-1341307</v>
      </c>
      <c r="G374" s="47">
        <f t="shared" si="112"/>
        <v>-350416.45375000057</v>
      </c>
      <c r="H374" s="52">
        <f t="shared" si="113"/>
        <v>230771.96994802475</v>
      </c>
      <c r="I374" s="505">
        <f t="shared" ref="I374:I393" si="116">+$B$225*0.02955/12</f>
        <v>-3302.9684875000003</v>
      </c>
      <c r="J374" s="47">
        <f t="shared" si="114"/>
        <v>-1258967.5165374982</v>
      </c>
      <c r="K374" s="47">
        <f t="shared" si="115"/>
        <v>-82339.4834625004</v>
      </c>
    </row>
    <row r="375" spans="1:11">
      <c r="A375" s="137">
        <v>45473</v>
      </c>
      <c r="B375" s="47">
        <v>-1341307</v>
      </c>
      <c r="C375" s="47">
        <f t="shared" si="108"/>
        <v>352752.56344166724</v>
      </c>
      <c r="D375" s="47">
        <f t="shared" si="109"/>
        <v>-988554.43655833276</v>
      </c>
      <c r="E375" s="41">
        <f t="shared" si="110"/>
        <v>231017.55208216642</v>
      </c>
      <c r="F375" s="140">
        <f t="shared" si="111"/>
        <v>-1341307</v>
      </c>
      <c r="G375" s="47">
        <f t="shared" si="112"/>
        <v>-352752.56344166724</v>
      </c>
      <c r="H375" s="52">
        <f t="shared" si="113"/>
        <v>231017.55208216642</v>
      </c>
      <c r="I375" s="505">
        <f t="shared" si="116"/>
        <v>-3302.9684875000003</v>
      </c>
      <c r="J375" s="47">
        <f t="shared" si="114"/>
        <v>-1262270.4850249982</v>
      </c>
      <c r="K375" s="47">
        <f t="shared" si="115"/>
        <v>-79036.514975000406</v>
      </c>
    </row>
    <row r="376" spans="1:11">
      <c r="A376" s="137">
        <v>45504</v>
      </c>
      <c r="B376" s="47">
        <v>-1341307</v>
      </c>
      <c r="C376" s="47">
        <f t="shared" si="108"/>
        <v>355088.67313333391</v>
      </c>
      <c r="D376" s="47">
        <f t="shared" si="109"/>
        <v>-986218.32686666609</v>
      </c>
      <c r="E376" s="41">
        <f t="shared" si="110"/>
        <v>231263.13421630807</v>
      </c>
      <c r="F376" s="140">
        <f t="shared" si="111"/>
        <v>-1341307</v>
      </c>
      <c r="G376" s="47">
        <f t="shared" si="112"/>
        <v>-355088.67313333391</v>
      </c>
      <c r="H376" s="52">
        <f t="shared" si="113"/>
        <v>231263.13421630807</v>
      </c>
      <c r="I376" s="505">
        <f t="shared" si="116"/>
        <v>-3302.9684875000003</v>
      </c>
      <c r="J376" s="47">
        <f t="shared" si="114"/>
        <v>-1265573.4535124982</v>
      </c>
      <c r="K376" s="47">
        <f t="shared" si="115"/>
        <v>-75733.546487500411</v>
      </c>
    </row>
    <row r="377" spans="1:11">
      <c r="A377" s="137">
        <v>45535</v>
      </c>
      <c r="B377" s="47">
        <v>-1341307</v>
      </c>
      <c r="C377" s="47">
        <f t="shared" si="108"/>
        <v>357424.78282500058</v>
      </c>
      <c r="D377" s="47">
        <f t="shared" si="109"/>
        <v>-983882.21717499942</v>
      </c>
      <c r="E377" s="41">
        <f t="shared" si="110"/>
        <v>231508.71635044974</v>
      </c>
      <c r="F377" s="140">
        <f t="shared" si="111"/>
        <v>-1341307</v>
      </c>
      <c r="G377" s="47">
        <f t="shared" si="112"/>
        <v>-357424.78282500058</v>
      </c>
      <c r="H377" s="52">
        <f t="shared" si="113"/>
        <v>231508.71635044974</v>
      </c>
      <c r="I377" s="505">
        <f t="shared" si="116"/>
        <v>-3302.9684875000003</v>
      </c>
      <c r="J377" s="47">
        <f t="shared" si="114"/>
        <v>-1268876.4219999982</v>
      </c>
      <c r="K377" s="47">
        <f t="shared" si="115"/>
        <v>-72430.578000000416</v>
      </c>
    </row>
    <row r="378" spans="1:11">
      <c r="A378" s="137">
        <v>45565</v>
      </c>
      <c r="B378" s="47">
        <v>-1341307</v>
      </c>
      <c r="C378" s="47">
        <f t="shared" si="108"/>
        <v>359760.89251666726</v>
      </c>
      <c r="D378" s="47">
        <f t="shared" si="109"/>
        <v>-981546.10748333274</v>
      </c>
      <c r="E378" s="41">
        <f t="shared" si="110"/>
        <v>231754.29848459139</v>
      </c>
      <c r="F378" s="140">
        <f t="shared" si="111"/>
        <v>-1341307</v>
      </c>
      <c r="G378" s="47">
        <f t="shared" si="112"/>
        <v>-359760.89251666726</v>
      </c>
      <c r="H378" s="52">
        <f t="shared" si="113"/>
        <v>231754.29848459139</v>
      </c>
      <c r="I378" s="505">
        <f t="shared" si="116"/>
        <v>-3302.9684875000003</v>
      </c>
      <c r="J378" s="47">
        <f t="shared" si="114"/>
        <v>-1272179.3904874981</v>
      </c>
      <c r="K378" s="47">
        <f t="shared" si="115"/>
        <v>-69127.609512500421</v>
      </c>
    </row>
    <row r="379" spans="1:11">
      <c r="A379" s="137">
        <v>45596</v>
      </c>
      <c r="B379" s="47">
        <v>-1341307</v>
      </c>
      <c r="C379" s="47">
        <f t="shared" si="108"/>
        <v>362097.00220833393</v>
      </c>
      <c r="D379" s="47">
        <f t="shared" si="109"/>
        <v>-979209.99779166607</v>
      </c>
      <c r="E379" s="41">
        <f t="shared" si="110"/>
        <v>231999.88061873306</v>
      </c>
      <c r="F379" s="140">
        <f t="shared" si="111"/>
        <v>-1341307</v>
      </c>
      <c r="G379" s="47">
        <f t="shared" si="112"/>
        <v>-362097.00220833393</v>
      </c>
      <c r="H379" s="52">
        <f t="shared" si="113"/>
        <v>231999.88061873306</v>
      </c>
      <c r="I379" s="505">
        <f t="shared" si="116"/>
        <v>-3302.9684875000003</v>
      </c>
      <c r="J379" s="47">
        <f t="shared" si="114"/>
        <v>-1275482.3589749981</v>
      </c>
      <c r="K379" s="47">
        <f t="shared" si="115"/>
        <v>-65824.641025000426</v>
      </c>
    </row>
    <row r="380" spans="1:11">
      <c r="A380" s="137">
        <v>45626</v>
      </c>
      <c r="B380" s="47">
        <v>-1341307</v>
      </c>
      <c r="C380" s="47">
        <f>-B380*$C$5/12+C379</f>
        <v>364433.1119000006</v>
      </c>
      <c r="D380" s="47">
        <f>+B380+C380</f>
        <v>-976873.8880999994</v>
      </c>
      <c r="E380" s="41">
        <f>(-D380+K380)*0.254</f>
        <v>232245.46275287477</v>
      </c>
      <c r="F380" s="140">
        <f>B380</f>
        <v>-1341307</v>
      </c>
      <c r="G380" s="47">
        <f>-C380</f>
        <v>-364433.1119000006</v>
      </c>
      <c r="H380" s="52">
        <f>E380</f>
        <v>232245.46275287477</v>
      </c>
      <c r="I380" s="505">
        <f t="shared" si="116"/>
        <v>-3302.9684875000003</v>
      </c>
      <c r="J380" s="47">
        <f>+I380+J379</f>
        <v>-1278785.3274624981</v>
      </c>
      <c r="K380" s="47">
        <f>+K379-I380</f>
        <v>-62521.672537500424</v>
      </c>
    </row>
    <row r="381" spans="1:11">
      <c r="A381" s="137">
        <v>45657</v>
      </c>
      <c r="B381" s="47">
        <v>-1341307</v>
      </c>
      <c r="C381" s="47">
        <f>-B381*$C$5/12+C380</f>
        <v>366769.22159166727</v>
      </c>
      <c r="D381" s="47">
        <f>+B381+C381</f>
        <v>-974537.77840833273</v>
      </c>
      <c r="E381" s="41">
        <f>(-D381+K381)*0.254</f>
        <v>232491.04488701641</v>
      </c>
      <c r="F381" s="140">
        <f>B381</f>
        <v>-1341307</v>
      </c>
      <c r="G381" s="47">
        <f>-C381</f>
        <v>-366769.22159166727</v>
      </c>
      <c r="H381" s="52">
        <f>E381</f>
        <v>232491.04488701641</v>
      </c>
      <c r="I381" s="505">
        <f t="shared" si="116"/>
        <v>-3302.9684875000003</v>
      </c>
      <c r="J381" s="47">
        <f>+I381+J380</f>
        <v>-1282088.2959499981</v>
      </c>
      <c r="K381" s="47">
        <f>+K380-I381</f>
        <v>-59218.704050000422</v>
      </c>
    </row>
    <row r="382" spans="1:11">
      <c r="A382" s="137">
        <v>45688</v>
      </c>
      <c r="B382" s="47">
        <v>-1341307</v>
      </c>
      <c r="C382" s="47">
        <f t="shared" ref="C382:C391" si="117">-B382*$C$5/12+C381</f>
        <v>369105.33128333394</v>
      </c>
      <c r="D382" s="47">
        <f t="shared" ref="D382:D391" si="118">+B382+C382</f>
        <v>-972201.66871666606</v>
      </c>
      <c r="E382" s="41">
        <f t="shared" ref="E382:E391" si="119">(-D382+K382)*0.254</f>
        <v>232736.62702115808</v>
      </c>
      <c r="F382" s="140">
        <f t="shared" ref="F382:F391" si="120">B382</f>
        <v>-1341307</v>
      </c>
      <c r="G382" s="47">
        <f t="shared" ref="G382:G391" si="121">-C382</f>
        <v>-369105.33128333394</v>
      </c>
      <c r="H382" s="52">
        <f t="shared" ref="H382:H391" si="122">E382</f>
        <v>232736.62702115808</v>
      </c>
      <c r="I382" s="505">
        <f t="shared" si="116"/>
        <v>-3302.9684875000003</v>
      </c>
      <c r="J382" s="47">
        <f t="shared" ref="J382:J391" si="123">+I382+J381</f>
        <v>-1285391.2644374981</v>
      </c>
      <c r="K382" s="47">
        <f t="shared" ref="K382:K391" si="124">+K381-I382</f>
        <v>-55915.73556250042</v>
      </c>
    </row>
    <row r="383" spans="1:11">
      <c r="A383" s="137">
        <v>45716</v>
      </c>
      <c r="B383" s="47">
        <v>-1341307</v>
      </c>
      <c r="C383" s="47">
        <f t="shared" si="117"/>
        <v>371441.44097500062</v>
      </c>
      <c r="D383" s="47">
        <f t="shared" si="118"/>
        <v>-969865.55902499938</v>
      </c>
      <c r="E383" s="41">
        <f t="shared" si="119"/>
        <v>232982.20915529973</v>
      </c>
      <c r="F383" s="140">
        <f t="shared" si="120"/>
        <v>-1341307</v>
      </c>
      <c r="G383" s="47">
        <f t="shared" si="121"/>
        <v>-371441.44097500062</v>
      </c>
      <c r="H383" s="52">
        <f t="shared" si="122"/>
        <v>232982.20915529973</v>
      </c>
      <c r="I383" s="505">
        <f t="shared" si="116"/>
        <v>-3302.9684875000003</v>
      </c>
      <c r="J383" s="47">
        <f t="shared" si="123"/>
        <v>-1288694.232924998</v>
      </c>
      <c r="K383" s="47">
        <f t="shared" si="124"/>
        <v>-52612.767075000418</v>
      </c>
    </row>
    <row r="384" spans="1:11">
      <c r="A384" s="137">
        <v>45747</v>
      </c>
      <c r="B384" s="47">
        <v>-1341307</v>
      </c>
      <c r="C384" s="47">
        <f t="shared" si="117"/>
        <v>373777.55066666729</v>
      </c>
      <c r="D384" s="47">
        <f t="shared" si="118"/>
        <v>-967529.44933333271</v>
      </c>
      <c r="E384" s="41">
        <f t="shared" si="119"/>
        <v>233227.7912894414</v>
      </c>
      <c r="F384" s="140">
        <f t="shared" si="120"/>
        <v>-1341307</v>
      </c>
      <c r="G384" s="47">
        <f t="shared" si="121"/>
        <v>-373777.55066666729</v>
      </c>
      <c r="H384" s="52">
        <f t="shared" si="122"/>
        <v>233227.7912894414</v>
      </c>
      <c r="I384" s="505">
        <f t="shared" si="116"/>
        <v>-3302.9684875000003</v>
      </c>
      <c r="J384" s="47">
        <f t="shared" si="123"/>
        <v>-1291997.201412498</v>
      </c>
      <c r="K384" s="47">
        <f t="shared" si="124"/>
        <v>-49309.798587500416</v>
      </c>
    </row>
    <row r="385" spans="1:11">
      <c r="A385" s="137">
        <v>45777</v>
      </c>
      <c r="B385" s="47">
        <v>-1341307</v>
      </c>
      <c r="C385" s="47">
        <f t="shared" si="117"/>
        <v>376113.66035833396</v>
      </c>
      <c r="D385" s="47">
        <f t="shared" si="118"/>
        <v>-965193.33964166604</v>
      </c>
      <c r="E385" s="41">
        <f t="shared" si="119"/>
        <v>233473.37342358308</v>
      </c>
      <c r="F385" s="140">
        <f t="shared" si="120"/>
        <v>-1341307</v>
      </c>
      <c r="G385" s="47">
        <f t="shared" si="121"/>
        <v>-376113.66035833396</v>
      </c>
      <c r="H385" s="52">
        <f t="shared" si="122"/>
        <v>233473.37342358308</v>
      </c>
      <c r="I385" s="505">
        <f t="shared" si="116"/>
        <v>-3302.9684875000003</v>
      </c>
      <c r="J385" s="47">
        <f t="shared" si="123"/>
        <v>-1295300.169899998</v>
      </c>
      <c r="K385" s="47">
        <f t="shared" si="124"/>
        <v>-46006.830100000414</v>
      </c>
    </row>
    <row r="386" spans="1:11">
      <c r="A386" s="137">
        <v>45808</v>
      </c>
      <c r="B386" s="47">
        <v>-1341307</v>
      </c>
      <c r="C386" s="47">
        <f t="shared" si="117"/>
        <v>378449.77005000063</v>
      </c>
      <c r="D386" s="47">
        <f t="shared" si="118"/>
        <v>-962857.22994999937</v>
      </c>
      <c r="E386" s="41">
        <f t="shared" si="119"/>
        <v>233718.95555772475</v>
      </c>
      <c r="F386" s="140">
        <f t="shared" si="120"/>
        <v>-1341307</v>
      </c>
      <c r="G386" s="47">
        <f t="shared" si="121"/>
        <v>-378449.77005000063</v>
      </c>
      <c r="H386" s="52">
        <f t="shared" si="122"/>
        <v>233718.95555772475</v>
      </c>
      <c r="I386" s="505">
        <f t="shared" si="116"/>
        <v>-3302.9684875000003</v>
      </c>
      <c r="J386" s="47">
        <f t="shared" si="123"/>
        <v>-1298603.138387498</v>
      </c>
      <c r="K386" s="47">
        <f t="shared" si="124"/>
        <v>-42703.861612500412</v>
      </c>
    </row>
    <row r="387" spans="1:11">
      <c r="A387" s="137">
        <v>45838</v>
      </c>
      <c r="B387" s="47">
        <v>-1341307</v>
      </c>
      <c r="C387" s="47">
        <f t="shared" si="117"/>
        <v>380785.8797416673</v>
      </c>
      <c r="D387" s="47">
        <f t="shared" si="118"/>
        <v>-960521.1202583327</v>
      </c>
      <c r="E387" s="41">
        <f t="shared" si="119"/>
        <v>233964.5376918664</v>
      </c>
      <c r="F387" s="140">
        <f t="shared" si="120"/>
        <v>-1341307</v>
      </c>
      <c r="G387" s="47">
        <f t="shared" si="121"/>
        <v>-380785.8797416673</v>
      </c>
      <c r="H387" s="52">
        <f t="shared" si="122"/>
        <v>233964.5376918664</v>
      </c>
      <c r="I387" s="505">
        <f t="shared" si="116"/>
        <v>-3302.9684875000003</v>
      </c>
      <c r="J387" s="47">
        <f t="shared" si="123"/>
        <v>-1301906.106874998</v>
      </c>
      <c r="K387" s="47">
        <f t="shared" si="124"/>
        <v>-39400.89312500041</v>
      </c>
    </row>
    <row r="388" spans="1:11">
      <c r="A388" s="137">
        <v>45869</v>
      </c>
      <c r="B388" s="47">
        <v>-1341307</v>
      </c>
      <c r="C388" s="47">
        <f t="shared" si="117"/>
        <v>383121.98943333398</v>
      </c>
      <c r="D388" s="47">
        <f t="shared" si="118"/>
        <v>-958185.01056666602</v>
      </c>
      <c r="E388" s="41">
        <f t="shared" si="119"/>
        <v>234210.11982600807</v>
      </c>
      <c r="F388" s="140">
        <f t="shared" si="120"/>
        <v>-1341307</v>
      </c>
      <c r="G388" s="47">
        <f t="shared" si="121"/>
        <v>-383121.98943333398</v>
      </c>
      <c r="H388" s="52">
        <f t="shared" si="122"/>
        <v>234210.11982600807</v>
      </c>
      <c r="I388" s="505">
        <f t="shared" si="116"/>
        <v>-3302.9684875000003</v>
      </c>
      <c r="J388" s="47">
        <f t="shared" si="123"/>
        <v>-1305209.0753624979</v>
      </c>
      <c r="K388" s="47">
        <f t="shared" si="124"/>
        <v>-36097.924637500408</v>
      </c>
    </row>
    <row r="389" spans="1:11">
      <c r="A389" s="137">
        <v>45900</v>
      </c>
      <c r="B389" s="47">
        <v>-1341307</v>
      </c>
      <c r="C389" s="47">
        <f t="shared" si="117"/>
        <v>385458.09912500065</v>
      </c>
      <c r="D389" s="47">
        <f t="shared" si="118"/>
        <v>-955848.90087499935</v>
      </c>
      <c r="E389" s="41">
        <f t="shared" si="119"/>
        <v>234455.70196014972</v>
      </c>
      <c r="F389" s="140">
        <f t="shared" si="120"/>
        <v>-1341307</v>
      </c>
      <c r="G389" s="47">
        <f t="shared" si="121"/>
        <v>-385458.09912500065</v>
      </c>
      <c r="H389" s="52">
        <f t="shared" si="122"/>
        <v>234455.70196014972</v>
      </c>
      <c r="I389" s="505">
        <f t="shared" si="116"/>
        <v>-3302.9684875000003</v>
      </c>
      <c r="J389" s="47">
        <f t="shared" si="123"/>
        <v>-1308512.0438499979</v>
      </c>
      <c r="K389" s="47">
        <f t="shared" si="124"/>
        <v>-32794.956150000406</v>
      </c>
    </row>
    <row r="390" spans="1:11">
      <c r="A390" s="137">
        <v>45930</v>
      </c>
      <c r="B390" s="47">
        <v>-1341307</v>
      </c>
      <c r="C390" s="47">
        <f t="shared" si="117"/>
        <v>387794.20881666732</v>
      </c>
      <c r="D390" s="47">
        <f t="shared" si="118"/>
        <v>-953512.79118333268</v>
      </c>
      <c r="E390" s="41">
        <f t="shared" si="119"/>
        <v>234701.28409429142</v>
      </c>
      <c r="F390" s="140">
        <f t="shared" si="120"/>
        <v>-1341307</v>
      </c>
      <c r="G390" s="47">
        <f t="shared" si="121"/>
        <v>-387794.20881666732</v>
      </c>
      <c r="H390" s="52">
        <f t="shared" si="122"/>
        <v>234701.28409429142</v>
      </c>
      <c r="I390" s="505">
        <f t="shared" si="116"/>
        <v>-3302.9684875000003</v>
      </c>
      <c r="J390" s="47">
        <f t="shared" si="123"/>
        <v>-1311815.0123374979</v>
      </c>
      <c r="K390" s="47">
        <f t="shared" si="124"/>
        <v>-29491.987662500404</v>
      </c>
    </row>
    <row r="391" spans="1:11">
      <c r="A391" s="137">
        <v>45961</v>
      </c>
      <c r="B391" s="47">
        <v>-1341307</v>
      </c>
      <c r="C391" s="47">
        <f t="shared" si="117"/>
        <v>390130.31850833399</v>
      </c>
      <c r="D391" s="47">
        <f t="shared" si="118"/>
        <v>-951176.68149166601</v>
      </c>
      <c r="E391" s="41">
        <f t="shared" si="119"/>
        <v>234946.86622843306</v>
      </c>
      <c r="F391" s="140">
        <f t="shared" si="120"/>
        <v>-1341307</v>
      </c>
      <c r="G391" s="47">
        <f t="shared" si="121"/>
        <v>-390130.31850833399</v>
      </c>
      <c r="H391" s="52">
        <f t="shared" si="122"/>
        <v>234946.86622843306</v>
      </c>
      <c r="I391" s="505">
        <f t="shared" si="116"/>
        <v>-3302.9684875000003</v>
      </c>
      <c r="J391" s="47">
        <f t="shared" si="123"/>
        <v>-1315117.9808249979</v>
      </c>
      <c r="K391" s="47">
        <f t="shared" si="124"/>
        <v>-26189.019175000401</v>
      </c>
    </row>
    <row r="392" spans="1:11">
      <c r="A392" s="137">
        <v>45991</v>
      </c>
      <c r="B392" s="47">
        <v>-1341307</v>
      </c>
      <c r="C392" s="47">
        <f>-B392*$C$5/12+C391</f>
        <v>392466.42820000066</v>
      </c>
      <c r="D392" s="47">
        <f>+B392+C392</f>
        <v>-948840.57179999934</v>
      </c>
      <c r="E392" s="41">
        <f>(-D392+K392)*0.254</f>
        <v>235192.44836257474</v>
      </c>
      <c r="F392" s="140">
        <f>B392</f>
        <v>-1341307</v>
      </c>
      <c r="G392" s="47">
        <f>-C392</f>
        <v>-392466.42820000066</v>
      </c>
      <c r="H392" s="52">
        <f>E392</f>
        <v>235192.44836257474</v>
      </c>
      <c r="I392" s="505">
        <f t="shared" si="116"/>
        <v>-3302.9684875000003</v>
      </c>
      <c r="J392" s="47">
        <f>+I392+J391</f>
        <v>-1318420.9493124979</v>
      </c>
      <c r="K392" s="47">
        <f>+K391-I392</f>
        <v>-22886.050687500399</v>
      </c>
    </row>
    <row r="393" spans="1:11">
      <c r="A393" s="137">
        <v>46022</v>
      </c>
      <c r="B393" s="47">
        <v>-1341307</v>
      </c>
      <c r="C393" s="47">
        <f>-B393*$C$5/12+C392</f>
        <v>394802.53789166734</v>
      </c>
      <c r="D393" s="47">
        <f>+B393+C393</f>
        <v>-946504.46210833266</v>
      </c>
      <c r="E393" s="41">
        <f>(-D393+K393)*0.254</f>
        <v>235438.03049671638</v>
      </c>
      <c r="F393" s="140">
        <f>B393</f>
        <v>-1341307</v>
      </c>
      <c r="G393" s="47">
        <f>-C393</f>
        <v>-394802.53789166734</v>
      </c>
      <c r="H393" s="52">
        <f>E393</f>
        <v>235438.03049671638</v>
      </c>
      <c r="I393" s="505">
        <f t="shared" si="116"/>
        <v>-3302.9684875000003</v>
      </c>
      <c r="J393" s="47">
        <f>+I393+J392</f>
        <v>-1321723.9177999978</v>
      </c>
      <c r="K393" s="47">
        <f>+K392-I393</f>
        <v>-19583.082200000397</v>
      </c>
    </row>
    <row r="394" spans="1:11">
      <c r="A394" s="137"/>
      <c r="B394" s="47"/>
      <c r="C394" s="47"/>
      <c r="D394" s="47"/>
      <c r="E394" s="41"/>
      <c r="F394" s="140"/>
      <c r="G394" s="47"/>
      <c r="H394" s="52"/>
      <c r="I394" s="505"/>
      <c r="J394" s="47"/>
      <c r="K394" s="47"/>
    </row>
    <row r="395" spans="1:11">
      <c r="B395" s="47"/>
      <c r="E395" s="41"/>
      <c r="F395" s="140"/>
      <c r="G395" s="47"/>
      <c r="H395" s="52"/>
    </row>
    <row r="396" spans="1:11">
      <c r="A396" s="86" t="s">
        <v>988</v>
      </c>
      <c r="B396" s="47"/>
      <c r="E396" s="41"/>
      <c r="F396" s="140"/>
      <c r="G396" s="47"/>
      <c r="H396" s="52"/>
      <c r="I396" s="86"/>
    </row>
    <row r="397" spans="1:11">
      <c r="A397" s="137">
        <v>40908</v>
      </c>
      <c r="B397" s="47">
        <v>-65000</v>
      </c>
      <c r="C397" s="47">
        <f>-B397*$C$5/12</f>
        <v>113.20833333333333</v>
      </c>
      <c r="D397" s="47">
        <f>+B397+C397</f>
        <v>-64886.791666666664</v>
      </c>
      <c r="E397" s="41">
        <f>(-D397+K397)*0.3959</f>
        <v>13465.268320833331</v>
      </c>
      <c r="F397" s="140">
        <f t="shared" ref="F397:F460" si="125">B397</f>
        <v>-65000</v>
      </c>
      <c r="G397" s="47">
        <f>-C397</f>
        <v>-113.20833333333333</v>
      </c>
      <c r="H397" s="52">
        <f t="shared" ref="H397:H460" si="126">E397</f>
        <v>13465.268320833331</v>
      </c>
      <c r="I397" s="192">
        <f>+$B$409*0.525</f>
        <v>-34125</v>
      </c>
      <c r="J397" s="47">
        <f>+I397</f>
        <v>-34125</v>
      </c>
      <c r="K397" s="47">
        <f>+B397-I397</f>
        <v>-30875</v>
      </c>
    </row>
    <row r="398" spans="1:11">
      <c r="A398" s="137">
        <v>40939</v>
      </c>
      <c r="B398" s="47">
        <v>-65000</v>
      </c>
      <c r="C398" s="47">
        <f>-B398*$C$5/12+C397</f>
        <v>226.41666666666666</v>
      </c>
      <c r="D398" s="47">
        <f t="shared" ref="D398:D461" si="127">+B398+C398</f>
        <v>-64773.583333333336</v>
      </c>
      <c r="E398" s="41">
        <f t="shared" ref="E398:E421" si="128">(-D398+K398)*0.3959</f>
        <v>13522.310912499999</v>
      </c>
      <c r="F398" s="140">
        <f t="shared" si="125"/>
        <v>-65000</v>
      </c>
      <c r="G398" s="47">
        <f t="shared" ref="G398:G461" si="129">-C398</f>
        <v>-226.41666666666666</v>
      </c>
      <c r="H398" s="52">
        <f t="shared" si="126"/>
        <v>13522.310912499999</v>
      </c>
      <c r="I398" s="192">
        <f>+$B$409*0.0475/12</f>
        <v>-257.29166666666669</v>
      </c>
      <c r="J398" s="47">
        <f t="shared" ref="J398:J461" si="130">+I398+J397</f>
        <v>-34382.291666666664</v>
      </c>
      <c r="K398" s="47">
        <f>+K397-I398</f>
        <v>-30617.708333333332</v>
      </c>
    </row>
    <row r="399" spans="1:11">
      <c r="A399" s="137">
        <v>40968</v>
      </c>
      <c r="B399" s="47">
        <v>-65000</v>
      </c>
      <c r="C399" s="47">
        <f t="shared" ref="C399:C462" si="131">-B399*$C$5/12+C398</f>
        <v>339.625</v>
      </c>
      <c r="D399" s="47">
        <f t="shared" si="127"/>
        <v>-64660.375</v>
      </c>
      <c r="E399" s="41">
        <f t="shared" si="128"/>
        <v>13579.353504166667</v>
      </c>
      <c r="F399" s="140">
        <f t="shared" si="125"/>
        <v>-65000</v>
      </c>
      <c r="G399" s="47">
        <f t="shared" si="129"/>
        <v>-339.625</v>
      </c>
      <c r="H399" s="52">
        <f t="shared" si="126"/>
        <v>13579.353504166667</v>
      </c>
      <c r="I399" s="192">
        <f t="shared" ref="I399:I409" si="132">+$B$409*0.0475/12</f>
        <v>-257.29166666666669</v>
      </c>
      <c r="J399" s="47">
        <f t="shared" si="130"/>
        <v>-34639.583333333328</v>
      </c>
      <c r="K399" s="47">
        <f t="shared" ref="K399:K462" si="133">+K398-I399</f>
        <v>-30360.416666666664</v>
      </c>
    </row>
    <row r="400" spans="1:11">
      <c r="A400" s="137">
        <v>40999</v>
      </c>
      <c r="B400" s="47">
        <v>-65000</v>
      </c>
      <c r="C400" s="47">
        <f t="shared" si="131"/>
        <v>452.83333333333331</v>
      </c>
      <c r="D400" s="47">
        <f t="shared" si="127"/>
        <v>-64547.166666666664</v>
      </c>
      <c r="E400" s="41">
        <f t="shared" si="128"/>
        <v>13636.396095833334</v>
      </c>
      <c r="F400" s="140">
        <f t="shared" si="125"/>
        <v>-65000</v>
      </c>
      <c r="G400" s="47">
        <f t="shared" si="129"/>
        <v>-452.83333333333331</v>
      </c>
      <c r="H400" s="52">
        <f t="shared" si="126"/>
        <v>13636.396095833334</v>
      </c>
      <c r="I400" s="192">
        <f t="shared" si="132"/>
        <v>-257.29166666666669</v>
      </c>
      <c r="J400" s="47">
        <f t="shared" si="130"/>
        <v>-34896.874999999993</v>
      </c>
      <c r="K400" s="47">
        <f t="shared" si="133"/>
        <v>-30103.124999999996</v>
      </c>
    </row>
    <row r="401" spans="1:11">
      <c r="A401" s="137">
        <v>41029</v>
      </c>
      <c r="B401" s="47">
        <v>-65000</v>
      </c>
      <c r="C401" s="47">
        <f t="shared" si="131"/>
        <v>566.04166666666663</v>
      </c>
      <c r="D401" s="47">
        <f t="shared" si="127"/>
        <v>-64433.958333333336</v>
      </c>
      <c r="E401" s="41">
        <f t="shared" si="128"/>
        <v>13693.438687500002</v>
      </c>
      <c r="F401" s="140">
        <f t="shared" si="125"/>
        <v>-65000</v>
      </c>
      <c r="G401" s="47">
        <f t="shared" si="129"/>
        <v>-566.04166666666663</v>
      </c>
      <c r="H401" s="52">
        <f t="shared" si="126"/>
        <v>13693.438687500002</v>
      </c>
      <c r="I401" s="192">
        <f t="shared" si="132"/>
        <v>-257.29166666666669</v>
      </c>
      <c r="J401" s="47">
        <f t="shared" si="130"/>
        <v>-35154.166666666657</v>
      </c>
      <c r="K401" s="47">
        <f t="shared" si="133"/>
        <v>-29845.833333333328</v>
      </c>
    </row>
    <row r="402" spans="1:11">
      <c r="A402" s="137">
        <v>41060</v>
      </c>
      <c r="B402" s="47">
        <v>-65000</v>
      </c>
      <c r="C402" s="47">
        <f t="shared" si="131"/>
        <v>679.25</v>
      </c>
      <c r="D402" s="47">
        <f t="shared" si="127"/>
        <v>-64320.75</v>
      </c>
      <c r="E402" s="41">
        <f t="shared" si="128"/>
        <v>13750.48127916667</v>
      </c>
      <c r="F402" s="140">
        <f t="shared" si="125"/>
        <v>-65000</v>
      </c>
      <c r="G402" s="47">
        <f t="shared" si="129"/>
        <v>-679.25</v>
      </c>
      <c r="H402" s="52">
        <f t="shared" si="126"/>
        <v>13750.48127916667</v>
      </c>
      <c r="I402" s="192">
        <f t="shared" si="132"/>
        <v>-257.29166666666669</v>
      </c>
      <c r="J402" s="47">
        <f t="shared" si="130"/>
        <v>-35411.458333333321</v>
      </c>
      <c r="K402" s="47">
        <f t="shared" si="133"/>
        <v>-29588.541666666661</v>
      </c>
    </row>
    <row r="403" spans="1:11">
      <c r="A403" s="137">
        <v>41090</v>
      </c>
      <c r="B403" s="47">
        <v>-65000</v>
      </c>
      <c r="C403" s="47">
        <f t="shared" si="131"/>
        <v>792.45833333333337</v>
      </c>
      <c r="D403" s="47">
        <f t="shared" si="127"/>
        <v>-64207.541666666664</v>
      </c>
      <c r="E403" s="41">
        <f t="shared" si="128"/>
        <v>13807.523870833335</v>
      </c>
      <c r="F403" s="140">
        <f t="shared" si="125"/>
        <v>-65000</v>
      </c>
      <c r="G403" s="47">
        <f t="shared" si="129"/>
        <v>-792.45833333333337</v>
      </c>
      <c r="H403" s="52">
        <f t="shared" si="126"/>
        <v>13807.523870833335</v>
      </c>
      <c r="I403" s="192">
        <f t="shared" si="132"/>
        <v>-257.29166666666669</v>
      </c>
      <c r="J403" s="47">
        <f t="shared" si="130"/>
        <v>-35668.749999999985</v>
      </c>
      <c r="K403" s="47">
        <f t="shared" si="133"/>
        <v>-29331.249999999993</v>
      </c>
    </row>
    <row r="404" spans="1:11">
      <c r="A404" s="137">
        <v>41121</v>
      </c>
      <c r="B404" s="47">
        <v>-65000</v>
      </c>
      <c r="C404" s="47">
        <f t="shared" si="131"/>
        <v>905.66666666666674</v>
      </c>
      <c r="D404" s="47">
        <f t="shared" si="127"/>
        <v>-64094.333333333336</v>
      </c>
      <c r="E404" s="41">
        <f t="shared" si="128"/>
        <v>13864.566462500004</v>
      </c>
      <c r="F404" s="140">
        <f t="shared" si="125"/>
        <v>-65000</v>
      </c>
      <c r="G404" s="47">
        <f t="shared" si="129"/>
        <v>-905.66666666666674</v>
      </c>
      <c r="H404" s="52">
        <f t="shared" si="126"/>
        <v>13864.566462500004</v>
      </c>
      <c r="I404" s="192">
        <f t="shared" si="132"/>
        <v>-257.29166666666669</v>
      </c>
      <c r="J404" s="47">
        <f t="shared" si="130"/>
        <v>-35926.04166666665</v>
      </c>
      <c r="K404" s="47">
        <f t="shared" si="133"/>
        <v>-29073.958333333325</v>
      </c>
    </row>
    <row r="405" spans="1:11">
      <c r="A405" s="137">
        <v>41152</v>
      </c>
      <c r="B405" s="47">
        <v>-65000</v>
      </c>
      <c r="C405" s="47">
        <f t="shared" si="131"/>
        <v>1018.8750000000001</v>
      </c>
      <c r="D405" s="47">
        <f t="shared" si="127"/>
        <v>-63981.125</v>
      </c>
      <c r="E405" s="41">
        <f t="shared" si="128"/>
        <v>13921.609054166669</v>
      </c>
      <c r="F405" s="140">
        <f t="shared" si="125"/>
        <v>-65000</v>
      </c>
      <c r="G405" s="47">
        <f t="shared" si="129"/>
        <v>-1018.8750000000001</v>
      </c>
      <c r="H405" s="52">
        <f t="shared" si="126"/>
        <v>13921.609054166669</v>
      </c>
      <c r="I405" s="192">
        <f t="shared" si="132"/>
        <v>-257.29166666666669</v>
      </c>
      <c r="J405" s="47">
        <f t="shared" si="130"/>
        <v>-36183.333333333314</v>
      </c>
      <c r="K405" s="47">
        <f t="shared" si="133"/>
        <v>-28816.666666666657</v>
      </c>
    </row>
    <row r="406" spans="1:11">
      <c r="A406" s="137">
        <v>41182</v>
      </c>
      <c r="B406" s="47">
        <v>-65000</v>
      </c>
      <c r="C406" s="47">
        <f t="shared" si="131"/>
        <v>1132.0833333333335</v>
      </c>
      <c r="D406" s="47">
        <f t="shared" si="127"/>
        <v>-63867.916666666664</v>
      </c>
      <c r="E406" s="41">
        <f t="shared" si="128"/>
        <v>13978.651645833334</v>
      </c>
      <c r="F406" s="140">
        <f t="shared" si="125"/>
        <v>-65000</v>
      </c>
      <c r="G406" s="47">
        <f t="shared" si="129"/>
        <v>-1132.0833333333335</v>
      </c>
      <c r="H406" s="52">
        <f t="shared" si="126"/>
        <v>13978.651645833334</v>
      </c>
      <c r="I406" s="192">
        <f t="shared" si="132"/>
        <v>-257.29166666666669</v>
      </c>
      <c r="J406" s="47">
        <f t="shared" si="130"/>
        <v>-36440.624999999978</v>
      </c>
      <c r="K406" s="47">
        <f t="shared" si="133"/>
        <v>-28559.374999999989</v>
      </c>
    </row>
    <row r="407" spans="1:11">
      <c r="A407" s="137">
        <v>41213</v>
      </c>
      <c r="B407" s="47">
        <v>-65000</v>
      </c>
      <c r="C407" s="47">
        <f t="shared" si="131"/>
        <v>1245.2916666666667</v>
      </c>
      <c r="D407" s="47">
        <f t="shared" si="127"/>
        <v>-63754.708333333336</v>
      </c>
      <c r="E407" s="41">
        <f t="shared" si="128"/>
        <v>14035.694237500005</v>
      </c>
      <c r="F407" s="140">
        <f t="shared" si="125"/>
        <v>-65000</v>
      </c>
      <c r="G407" s="47">
        <f t="shared" si="129"/>
        <v>-1245.2916666666667</v>
      </c>
      <c r="H407" s="52">
        <f t="shared" si="126"/>
        <v>14035.694237500005</v>
      </c>
      <c r="I407" s="192">
        <f t="shared" si="132"/>
        <v>-257.29166666666669</v>
      </c>
      <c r="J407" s="47">
        <f t="shared" si="130"/>
        <v>-36697.916666666642</v>
      </c>
      <c r="K407" s="47">
        <f t="shared" si="133"/>
        <v>-28302.083333333321</v>
      </c>
    </row>
    <row r="408" spans="1:11">
      <c r="A408" s="137">
        <v>41243</v>
      </c>
      <c r="B408" s="47">
        <v>-65000</v>
      </c>
      <c r="C408" s="47">
        <f t="shared" si="131"/>
        <v>1358.5</v>
      </c>
      <c r="D408" s="47">
        <f t="shared" si="127"/>
        <v>-63641.5</v>
      </c>
      <c r="E408" s="41">
        <f t="shared" si="128"/>
        <v>14092.73682916667</v>
      </c>
      <c r="F408" s="140">
        <f t="shared" si="125"/>
        <v>-65000</v>
      </c>
      <c r="G408" s="47">
        <f t="shared" si="129"/>
        <v>-1358.5</v>
      </c>
      <c r="H408" s="52">
        <f t="shared" si="126"/>
        <v>14092.73682916667</v>
      </c>
      <c r="I408" s="192">
        <f t="shared" si="132"/>
        <v>-257.29166666666669</v>
      </c>
      <c r="J408" s="47">
        <f t="shared" si="130"/>
        <v>-36955.208333333307</v>
      </c>
      <c r="K408" s="47">
        <f t="shared" si="133"/>
        <v>-28044.791666666653</v>
      </c>
    </row>
    <row r="409" spans="1:11">
      <c r="A409" s="137">
        <v>41274</v>
      </c>
      <c r="B409" s="47">
        <v>-65000</v>
      </c>
      <c r="C409" s="47">
        <f t="shared" si="131"/>
        <v>1471.7083333333333</v>
      </c>
      <c r="D409" s="47">
        <f t="shared" si="127"/>
        <v>-63528.291666666664</v>
      </c>
      <c r="E409" s="41">
        <f t="shared" si="128"/>
        <v>14149.779420833338</v>
      </c>
      <c r="F409" s="140">
        <f t="shared" si="125"/>
        <v>-65000</v>
      </c>
      <c r="G409" s="47">
        <f t="shared" si="129"/>
        <v>-1471.7083333333333</v>
      </c>
      <c r="H409" s="52">
        <f t="shared" si="126"/>
        <v>14149.779420833338</v>
      </c>
      <c r="I409" s="192">
        <f t="shared" si="132"/>
        <v>-257.29166666666669</v>
      </c>
      <c r="J409" s="47">
        <f t="shared" si="130"/>
        <v>-37212.499999999971</v>
      </c>
      <c r="K409" s="47">
        <f t="shared" si="133"/>
        <v>-27787.499999999985</v>
      </c>
    </row>
    <row r="410" spans="1:11">
      <c r="A410" s="137">
        <v>41305</v>
      </c>
      <c r="B410" s="47">
        <v>-65000</v>
      </c>
      <c r="C410" s="47">
        <f t="shared" si="131"/>
        <v>1584.9166666666665</v>
      </c>
      <c r="D410" s="47">
        <f t="shared" si="127"/>
        <v>-63415.083333333336</v>
      </c>
      <c r="E410" s="41">
        <f t="shared" si="128"/>
        <v>14196.635835416673</v>
      </c>
      <c r="F410" s="140">
        <f t="shared" si="125"/>
        <v>-65000</v>
      </c>
      <c r="G410" s="47">
        <f t="shared" si="129"/>
        <v>-1584.9166666666665</v>
      </c>
      <c r="H410" s="52">
        <f t="shared" si="126"/>
        <v>14196.635835416673</v>
      </c>
      <c r="I410" s="192">
        <f t="shared" ref="I410:I421" si="134">+$B$409*0.04275/12</f>
        <v>-231.5625</v>
      </c>
      <c r="J410" s="47">
        <f t="shared" si="130"/>
        <v>-37444.062499999971</v>
      </c>
      <c r="K410" s="47">
        <f t="shared" si="133"/>
        <v>-27555.937499999985</v>
      </c>
    </row>
    <row r="411" spans="1:11">
      <c r="A411" s="137">
        <v>41333</v>
      </c>
      <c r="B411" s="47">
        <v>-65000</v>
      </c>
      <c r="C411" s="47">
        <f t="shared" si="131"/>
        <v>1698.1249999999998</v>
      </c>
      <c r="D411" s="47">
        <f t="shared" si="127"/>
        <v>-63301.875</v>
      </c>
      <c r="E411" s="41">
        <f t="shared" si="128"/>
        <v>14243.492250000005</v>
      </c>
      <c r="F411" s="140">
        <f t="shared" si="125"/>
        <v>-65000</v>
      </c>
      <c r="G411" s="47">
        <f t="shared" si="129"/>
        <v>-1698.1249999999998</v>
      </c>
      <c r="H411" s="52">
        <f t="shared" si="126"/>
        <v>14243.492250000005</v>
      </c>
      <c r="I411" s="192">
        <f t="shared" si="134"/>
        <v>-231.5625</v>
      </c>
      <c r="J411" s="47">
        <f t="shared" si="130"/>
        <v>-37675.624999999971</v>
      </c>
      <c r="K411" s="47">
        <f t="shared" si="133"/>
        <v>-27324.374999999985</v>
      </c>
    </row>
    <row r="412" spans="1:11">
      <c r="A412" s="137">
        <v>41364</v>
      </c>
      <c r="B412" s="47">
        <v>-65000</v>
      </c>
      <c r="C412" s="47">
        <f t="shared" si="131"/>
        <v>1811.333333333333</v>
      </c>
      <c r="D412" s="47">
        <f t="shared" si="127"/>
        <v>-63188.666666666664</v>
      </c>
      <c r="E412" s="41">
        <f t="shared" si="128"/>
        <v>14290.348664583336</v>
      </c>
      <c r="F412" s="140">
        <f t="shared" si="125"/>
        <v>-65000</v>
      </c>
      <c r="G412" s="47">
        <f t="shared" si="129"/>
        <v>-1811.333333333333</v>
      </c>
      <c r="H412" s="52">
        <f t="shared" si="126"/>
        <v>14290.348664583336</v>
      </c>
      <c r="I412" s="192">
        <f t="shared" si="134"/>
        <v>-231.5625</v>
      </c>
      <c r="J412" s="47">
        <f t="shared" si="130"/>
        <v>-37907.187499999971</v>
      </c>
      <c r="K412" s="47">
        <f t="shared" si="133"/>
        <v>-27092.812499999985</v>
      </c>
    </row>
    <row r="413" spans="1:11">
      <c r="A413" s="137">
        <v>41394</v>
      </c>
      <c r="B413" s="47">
        <v>-65000</v>
      </c>
      <c r="C413" s="47">
        <f t="shared" si="131"/>
        <v>1924.5416666666663</v>
      </c>
      <c r="D413" s="47">
        <f t="shared" si="127"/>
        <v>-63075.458333333336</v>
      </c>
      <c r="E413" s="41">
        <f t="shared" si="128"/>
        <v>14337.205079166672</v>
      </c>
      <c r="F413" s="140">
        <f t="shared" si="125"/>
        <v>-65000</v>
      </c>
      <c r="G413" s="47">
        <f t="shared" si="129"/>
        <v>-1924.5416666666663</v>
      </c>
      <c r="H413" s="52">
        <f t="shared" si="126"/>
        <v>14337.205079166672</v>
      </c>
      <c r="I413" s="192">
        <f t="shared" si="134"/>
        <v>-231.5625</v>
      </c>
      <c r="J413" s="47">
        <f t="shared" si="130"/>
        <v>-38138.749999999971</v>
      </c>
      <c r="K413" s="47">
        <f t="shared" si="133"/>
        <v>-26861.249999999985</v>
      </c>
    </row>
    <row r="414" spans="1:11">
      <c r="A414" s="137">
        <v>41425</v>
      </c>
      <c r="B414" s="47">
        <v>-65000</v>
      </c>
      <c r="C414" s="47">
        <f t="shared" si="131"/>
        <v>2037.7499999999995</v>
      </c>
      <c r="D414" s="47">
        <f t="shared" si="127"/>
        <v>-62962.25</v>
      </c>
      <c r="E414" s="41">
        <f t="shared" si="128"/>
        <v>14384.061493750005</v>
      </c>
      <c r="F414" s="140">
        <f t="shared" si="125"/>
        <v>-65000</v>
      </c>
      <c r="G414" s="47">
        <f t="shared" si="129"/>
        <v>-2037.7499999999995</v>
      </c>
      <c r="H414" s="52">
        <f t="shared" si="126"/>
        <v>14384.061493750005</v>
      </c>
      <c r="I414" s="192">
        <f t="shared" si="134"/>
        <v>-231.5625</v>
      </c>
      <c r="J414" s="47">
        <f t="shared" si="130"/>
        <v>-38370.312499999971</v>
      </c>
      <c r="K414" s="47">
        <f t="shared" si="133"/>
        <v>-26629.687499999985</v>
      </c>
    </row>
    <row r="415" spans="1:11">
      <c r="A415" s="137">
        <v>41455</v>
      </c>
      <c r="B415" s="47">
        <v>-65000</v>
      </c>
      <c r="C415" s="47">
        <f t="shared" si="131"/>
        <v>2150.958333333333</v>
      </c>
      <c r="D415" s="47">
        <f t="shared" si="127"/>
        <v>-62849.041666666664</v>
      </c>
      <c r="E415" s="41">
        <f t="shared" si="128"/>
        <v>14430.917908333337</v>
      </c>
      <c r="F415" s="140">
        <f t="shared" si="125"/>
        <v>-65000</v>
      </c>
      <c r="G415" s="47">
        <f t="shared" si="129"/>
        <v>-2150.958333333333</v>
      </c>
      <c r="H415" s="52">
        <f t="shared" si="126"/>
        <v>14430.917908333337</v>
      </c>
      <c r="I415" s="192">
        <f t="shared" si="134"/>
        <v>-231.5625</v>
      </c>
      <c r="J415" s="47">
        <f t="shared" si="130"/>
        <v>-38601.874999999971</v>
      </c>
      <c r="K415" s="47">
        <f t="shared" si="133"/>
        <v>-26398.124999999985</v>
      </c>
    </row>
    <row r="416" spans="1:11">
      <c r="A416" s="137">
        <v>41486</v>
      </c>
      <c r="B416" s="47">
        <v>-65000</v>
      </c>
      <c r="C416" s="47">
        <f t="shared" si="131"/>
        <v>2264.1666666666665</v>
      </c>
      <c r="D416" s="47">
        <f t="shared" si="127"/>
        <v>-62735.833333333336</v>
      </c>
      <c r="E416" s="41">
        <f t="shared" si="128"/>
        <v>14477.774322916672</v>
      </c>
      <c r="F416" s="140">
        <f t="shared" si="125"/>
        <v>-65000</v>
      </c>
      <c r="G416" s="47">
        <f t="shared" si="129"/>
        <v>-2264.1666666666665</v>
      </c>
      <c r="H416" s="52">
        <f t="shared" si="126"/>
        <v>14477.774322916672</v>
      </c>
      <c r="I416" s="192">
        <f t="shared" si="134"/>
        <v>-231.5625</v>
      </c>
      <c r="J416" s="47">
        <f t="shared" si="130"/>
        <v>-38833.437499999971</v>
      </c>
      <c r="K416" s="47">
        <f t="shared" si="133"/>
        <v>-26166.562499999985</v>
      </c>
    </row>
    <row r="417" spans="1:11">
      <c r="A417" s="137">
        <v>41517</v>
      </c>
      <c r="B417" s="47">
        <v>-65000</v>
      </c>
      <c r="C417" s="47">
        <f t="shared" si="131"/>
        <v>2377.375</v>
      </c>
      <c r="D417" s="47">
        <f t="shared" si="127"/>
        <v>-62622.625</v>
      </c>
      <c r="E417" s="41">
        <f t="shared" si="128"/>
        <v>14524.630737500005</v>
      </c>
      <c r="F417" s="140">
        <f t="shared" si="125"/>
        <v>-65000</v>
      </c>
      <c r="G417" s="47">
        <f t="shared" si="129"/>
        <v>-2377.375</v>
      </c>
      <c r="H417" s="52">
        <f t="shared" si="126"/>
        <v>14524.630737500005</v>
      </c>
      <c r="I417" s="192">
        <f t="shared" si="134"/>
        <v>-231.5625</v>
      </c>
      <c r="J417" s="47">
        <f t="shared" si="130"/>
        <v>-39064.999999999971</v>
      </c>
      <c r="K417" s="47">
        <f t="shared" si="133"/>
        <v>-25934.999999999985</v>
      </c>
    </row>
    <row r="418" spans="1:11">
      <c r="A418" s="137">
        <v>41547</v>
      </c>
      <c r="B418" s="47">
        <v>-65000</v>
      </c>
      <c r="C418" s="47">
        <f t="shared" si="131"/>
        <v>2490.5833333333335</v>
      </c>
      <c r="D418" s="47">
        <f t="shared" si="127"/>
        <v>-62509.416666666664</v>
      </c>
      <c r="E418" s="41">
        <f t="shared" si="128"/>
        <v>14571.487152083337</v>
      </c>
      <c r="F418" s="140">
        <f t="shared" si="125"/>
        <v>-65000</v>
      </c>
      <c r="G418" s="47">
        <f t="shared" si="129"/>
        <v>-2490.5833333333335</v>
      </c>
      <c r="H418" s="52">
        <f t="shared" si="126"/>
        <v>14571.487152083337</v>
      </c>
      <c r="I418" s="192">
        <f t="shared" si="134"/>
        <v>-231.5625</v>
      </c>
      <c r="J418" s="47">
        <f t="shared" si="130"/>
        <v>-39296.562499999971</v>
      </c>
      <c r="K418" s="47">
        <f t="shared" si="133"/>
        <v>-25703.437499999985</v>
      </c>
    </row>
    <row r="419" spans="1:11">
      <c r="A419" s="137">
        <v>41578</v>
      </c>
      <c r="B419" s="47">
        <v>-65000</v>
      </c>
      <c r="C419" s="47">
        <f t="shared" si="131"/>
        <v>2603.791666666667</v>
      </c>
      <c r="D419" s="47">
        <f t="shared" si="127"/>
        <v>-62396.208333333336</v>
      </c>
      <c r="E419" s="41">
        <f t="shared" si="128"/>
        <v>14618.343566666672</v>
      </c>
      <c r="F419" s="140">
        <f t="shared" si="125"/>
        <v>-65000</v>
      </c>
      <c r="G419" s="47">
        <f t="shared" si="129"/>
        <v>-2603.791666666667</v>
      </c>
      <c r="H419" s="52">
        <f t="shared" si="126"/>
        <v>14618.343566666672</v>
      </c>
      <c r="I419" s="192">
        <f t="shared" si="134"/>
        <v>-231.5625</v>
      </c>
      <c r="J419" s="47">
        <f t="shared" si="130"/>
        <v>-39528.124999999971</v>
      </c>
      <c r="K419" s="47">
        <f t="shared" si="133"/>
        <v>-25471.874999999985</v>
      </c>
    </row>
    <row r="420" spans="1:11">
      <c r="A420" s="137">
        <v>41608</v>
      </c>
      <c r="B420" s="47">
        <v>-65000</v>
      </c>
      <c r="C420" s="47">
        <f t="shared" si="131"/>
        <v>2717.0000000000005</v>
      </c>
      <c r="D420" s="47">
        <f t="shared" si="127"/>
        <v>-62283</v>
      </c>
      <c r="E420" s="41">
        <f t="shared" si="128"/>
        <v>14665.199981250005</v>
      </c>
      <c r="F420" s="140">
        <f t="shared" si="125"/>
        <v>-65000</v>
      </c>
      <c r="G420" s="47">
        <f t="shared" si="129"/>
        <v>-2717.0000000000005</v>
      </c>
      <c r="H420" s="52">
        <f t="shared" si="126"/>
        <v>14665.199981250005</v>
      </c>
      <c r="I420" s="192">
        <f t="shared" si="134"/>
        <v>-231.5625</v>
      </c>
      <c r="J420" s="47">
        <f t="shared" si="130"/>
        <v>-39759.687499999971</v>
      </c>
      <c r="K420" s="47">
        <f t="shared" si="133"/>
        <v>-25240.312499999985</v>
      </c>
    </row>
    <row r="421" spans="1:11">
      <c r="A421" s="137">
        <v>41639</v>
      </c>
      <c r="B421" s="47">
        <v>-65000</v>
      </c>
      <c r="C421" s="47">
        <f t="shared" si="131"/>
        <v>2830.2083333333339</v>
      </c>
      <c r="D421" s="47">
        <f t="shared" si="127"/>
        <v>-62169.791666666664</v>
      </c>
      <c r="E421" s="41">
        <f t="shared" si="128"/>
        <v>14712.056395833337</v>
      </c>
      <c r="F421" s="140">
        <f t="shared" si="125"/>
        <v>-65000</v>
      </c>
      <c r="G421" s="47">
        <f t="shared" si="129"/>
        <v>-2830.2083333333339</v>
      </c>
      <c r="H421" s="52">
        <f t="shared" si="126"/>
        <v>14712.056395833337</v>
      </c>
      <c r="I421" s="192">
        <f t="shared" si="134"/>
        <v>-231.5625</v>
      </c>
      <c r="J421" s="47">
        <f t="shared" si="130"/>
        <v>-39991.249999999971</v>
      </c>
      <c r="K421" s="47">
        <f t="shared" si="133"/>
        <v>-25008.749999999985</v>
      </c>
    </row>
    <row r="422" spans="1:11">
      <c r="A422" s="137">
        <v>41670</v>
      </c>
      <c r="B422" s="47">
        <v>-65000</v>
      </c>
      <c r="C422" s="47">
        <f t="shared" si="131"/>
        <v>2943.4166666666674</v>
      </c>
      <c r="D422" s="47">
        <f t="shared" si="127"/>
        <v>-62056.583333333336</v>
      </c>
      <c r="E422" s="41">
        <f>(-D422+K422)*0.3942</f>
        <v>14686.463025000006</v>
      </c>
      <c r="F422" s="140">
        <f t="shared" si="125"/>
        <v>-65000</v>
      </c>
      <c r="G422" s="47">
        <f t="shared" si="129"/>
        <v>-2943.4166666666674</v>
      </c>
      <c r="H422" s="52">
        <f t="shared" si="126"/>
        <v>14686.463025000006</v>
      </c>
      <c r="I422" s="192">
        <f>+$B$409*0.0385/12</f>
        <v>-208.54166666666666</v>
      </c>
      <c r="J422" s="47">
        <f t="shared" si="130"/>
        <v>-40199.791666666635</v>
      </c>
      <c r="K422" s="47">
        <f t="shared" si="133"/>
        <v>-24800.208333333318</v>
      </c>
    </row>
    <row r="423" spans="1:11">
      <c r="A423" s="137">
        <v>41698</v>
      </c>
      <c r="B423" s="47">
        <v>-65000</v>
      </c>
      <c r="C423" s="47">
        <f t="shared" si="131"/>
        <v>3056.6250000000009</v>
      </c>
      <c r="D423" s="47">
        <f t="shared" si="127"/>
        <v>-61943.375</v>
      </c>
      <c r="E423" s="41">
        <f t="shared" ref="E423:E433" si="135">(-D423+K423)*0.3942</f>
        <v>14724.043425000007</v>
      </c>
      <c r="F423" s="140">
        <f t="shared" si="125"/>
        <v>-65000</v>
      </c>
      <c r="G423" s="47">
        <f t="shared" si="129"/>
        <v>-3056.6250000000009</v>
      </c>
      <c r="H423" s="52">
        <f t="shared" si="126"/>
        <v>14724.043425000007</v>
      </c>
      <c r="I423" s="192">
        <f t="shared" ref="I423:I433" si="136">+$B$409*0.0385/12</f>
        <v>-208.54166666666666</v>
      </c>
      <c r="J423" s="47">
        <f t="shared" si="130"/>
        <v>-40408.333333333299</v>
      </c>
      <c r="K423" s="47">
        <f t="shared" si="133"/>
        <v>-24591.66666666665</v>
      </c>
    </row>
    <row r="424" spans="1:11">
      <c r="A424" s="137">
        <v>41729</v>
      </c>
      <c r="B424" s="47">
        <v>-65000</v>
      </c>
      <c r="C424" s="47">
        <f t="shared" si="131"/>
        <v>3169.8333333333344</v>
      </c>
      <c r="D424" s="47">
        <f t="shared" si="127"/>
        <v>-61830.166666666664</v>
      </c>
      <c r="E424" s="41">
        <f t="shared" si="135"/>
        <v>14761.623825000008</v>
      </c>
      <c r="F424" s="140">
        <f t="shared" si="125"/>
        <v>-65000</v>
      </c>
      <c r="G424" s="47">
        <f t="shared" si="129"/>
        <v>-3169.8333333333344</v>
      </c>
      <c r="H424" s="52">
        <f t="shared" si="126"/>
        <v>14761.623825000008</v>
      </c>
      <c r="I424" s="192">
        <f t="shared" si="136"/>
        <v>-208.54166666666666</v>
      </c>
      <c r="J424" s="47">
        <f t="shared" si="130"/>
        <v>-40616.874999999964</v>
      </c>
      <c r="K424" s="47">
        <f t="shared" si="133"/>
        <v>-24383.124999999982</v>
      </c>
    </row>
    <row r="425" spans="1:11">
      <c r="A425" s="137">
        <v>41759</v>
      </c>
      <c r="B425" s="47">
        <v>-65000</v>
      </c>
      <c r="C425" s="47">
        <f t="shared" si="131"/>
        <v>3283.0416666666679</v>
      </c>
      <c r="D425" s="47">
        <f t="shared" si="127"/>
        <v>-61716.958333333328</v>
      </c>
      <c r="E425" s="41">
        <f t="shared" si="135"/>
        <v>14799.204225000005</v>
      </c>
      <c r="F425" s="140">
        <f t="shared" si="125"/>
        <v>-65000</v>
      </c>
      <c r="G425" s="47">
        <f t="shared" si="129"/>
        <v>-3283.0416666666679</v>
      </c>
      <c r="H425" s="52">
        <f t="shared" si="126"/>
        <v>14799.204225000005</v>
      </c>
      <c r="I425" s="192">
        <f t="shared" si="136"/>
        <v>-208.54166666666666</v>
      </c>
      <c r="J425" s="47">
        <f t="shared" si="130"/>
        <v>-40825.416666666628</v>
      </c>
      <c r="K425" s="47">
        <f t="shared" si="133"/>
        <v>-24174.583333333314</v>
      </c>
    </row>
    <row r="426" spans="1:11">
      <c r="A426" s="137">
        <v>41790</v>
      </c>
      <c r="B426" s="47">
        <v>-65000</v>
      </c>
      <c r="C426" s="47">
        <f t="shared" si="131"/>
        <v>3396.2500000000014</v>
      </c>
      <c r="D426" s="47">
        <f t="shared" si="127"/>
        <v>-61603.75</v>
      </c>
      <c r="E426" s="41">
        <f t="shared" si="135"/>
        <v>14836.784625000009</v>
      </c>
      <c r="F426" s="140">
        <f t="shared" si="125"/>
        <v>-65000</v>
      </c>
      <c r="G426" s="47">
        <f t="shared" si="129"/>
        <v>-3396.2500000000014</v>
      </c>
      <c r="H426" s="52">
        <f t="shared" si="126"/>
        <v>14836.784625000009</v>
      </c>
      <c r="I426" s="192">
        <f t="shared" si="136"/>
        <v>-208.54166666666666</v>
      </c>
      <c r="J426" s="47">
        <f t="shared" si="130"/>
        <v>-41033.958333333292</v>
      </c>
      <c r="K426" s="47">
        <f t="shared" si="133"/>
        <v>-23966.041666666646</v>
      </c>
    </row>
    <row r="427" spans="1:11">
      <c r="A427" s="137">
        <v>41820</v>
      </c>
      <c r="B427" s="47">
        <v>-65000</v>
      </c>
      <c r="C427" s="47">
        <f t="shared" si="131"/>
        <v>3509.4583333333348</v>
      </c>
      <c r="D427" s="47">
        <f t="shared" si="127"/>
        <v>-61490.541666666664</v>
      </c>
      <c r="E427" s="41">
        <f t="shared" si="135"/>
        <v>14874.365025000008</v>
      </c>
      <c r="F427" s="140">
        <f t="shared" si="125"/>
        <v>-65000</v>
      </c>
      <c r="G427" s="47">
        <f t="shared" si="129"/>
        <v>-3509.4583333333348</v>
      </c>
      <c r="H427" s="52">
        <f t="shared" si="126"/>
        <v>14874.365025000008</v>
      </c>
      <c r="I427" s="192">
        <f t="shared" si="136"/>
        <v>-208.54166666666666</v>
      </c>
      <c r="J427" s="47">
        <f t="shared" si="130"/>
        <v>-41242.499999999956</v>
      </c>
      <c r="K427" s="47">
        <f t="shared" si="133"/>
        <v>-23757.499999999978</v>
      </c>
    </row>
    <row r="428" spans="1:11">
      <c r="A428" s="137">
        <v>41851</v>
      </c>
      <c r="B428" s="47">
        <v>-65000</v>
      </c>
      <c r="C428" s="47">
        <f t="shared" si="131"/>
        <v>3622.6666666666683</v>
      </c>
      <c r="D428" s="47">
        <f t="shared" si="127"/>
        <v>-61377.333333333328</v>
      </c>
      <c r="E428" s="41">
        <f t="shared" si="135"/>
        <v>14911.945425000005</v>
      </c>
      <c r="F428" s="140">
        <f t="shared" si="125"/>
        <v>-65000</v>
      </c>
      <c r="G428" s="47">
        <f t="shared" si="129"/>
        <v>-3622.6666666666683</v>
      </c>
      <c r="H428" s="52">
        <f t="shared" si="126"/>
        <v>14911.945425000005</v>
      </c>
      <c r="I428" s="192">
        <f t="shared" si="136"/>
        <v>-208.54166666666666</v>
      </c>
      <c r="J428" s="47">
        <f t="shared" si="130"/>
        <v>-41451.041666666621</v>
      </c>
      <c r="K428" s="47">
        <f t="shared" si="133"/>
        <v>-23548.95833333331</v>
      </c>
    </row>
    <row r="429" spans="1:11">
      <c r="A429" s="137">
        <v>41882</v>
      </c>
      <c r="B429" s="47">
        <v>-65000</v>
      </c>
      <c r="C429" s="47">
        <f t="shared" si="131"/>
        <v>3735.8750000000018</v>
      </c>
      <c r="D429" s="47">
        <f t="shared" si="127"/>
        <v>-61264.125</v>
      </c>
      <c r="E429" s="41">
        <f t="shared" si="135"/>
        <v>14949.52582500001</v>
      </c>
      <c r="F429" s="140">
        <f t="shared" si="125"/>
        <v>-65000</v>
      </c>
      <c r="G429" s="47">
        <f t="shared" si="129"/>
        <v>-3735.8750000000018</v>
      </c>
      <c r="H429" s="52">
        <f t="shared" si="126"/>
        <v>14949.52582500001</v>
      </c>
      <c r="I429" s="192">
        <f t="shared" si="136"/>
        <v>-208.54166666666666</v>
      </c>
      <c r="J429" s="47">
        <f t="shared" si="130"/>
        <v>-41659.583333333285</v>
      </c>
      <c r="K429" s="47">
        <f t="shared" si="133"/>
        <v>-23340.416666666642</v>
      </c>
    </row>
    <row r="430" spans="1:11">
      <c r="A430" s="137">
        <v>41912</v>
      </c>
      <c r="B430" s="47">
        <v>-65000</v>
      </c>
      <c r="C430" s="47">
        <f t="shared" si="131"/>
        <v>3849.0833333333353</v>
      </c>
      <c r="D430" s="47">
        <f t="shared" si="127"/>
        <v>-61150.916666666664</v>
      </c>
      <c r="E430" s="41">
        <f t="shared" si="135"/>
        <v>14987.106225000007</v>
      </c>
      <c r="F430" s="140">
        <f t="shared" si="125"/>
        <v>-65000</v>
      </c>
      <c r="G430" s="47">
        <f t="shared" si="129"/>
        <v>-3849.0833333333353</v>
      </c>
      <c r="H430" s="52">
        <f t="shared" si="126"/>
        <v>14987.106225000007</v>
      </c>
      <c r="I430" s="192">
        <f t="shared" si="136"/>
        <v>-208.54166666666666</v>
      </c>
      <c r="J430" s="47">
        <f t="shared" si="130"/>
        <v>-41868.124999999949</v>
      </c>
      <c r="K430" s="47">
        <f t="shared" si="133"/>
        <v>-23131.874999999975</v>
      </c>
    </row>
    <row r="431" spans="1:11">
      <c r="A431" s="137">
        <v>41943</v>
      </c>
      <c r="B431" s="47">
        <v>-65000</v>
      </c>
      <c r="C431" s="47">
        <f t="shared" si="131"/>
        <v>3962.2916666666688</v>
      </c>
      <c r="D431" s="47">
        <f t="shared" si="127"/>
        <v>-61037.708333333328</v>
      </c>
      <c r="E431" s="41">
        <f t="shared" si="135"/>
        <v>15024.686625000008</v>
      </c>
      <c r="F431" s="140">
        <f t="shared" si="125"/>
        <v>-65000</v>
      </c>
      <c r="G431" s="47">
        <f t="shared" si="129"/>
        <v>-3962.2916666666688</v>
      </c>
      <c r="H431" s="52">
        <f t="shared" si="126"/>
        <v>15024.686625000008</v>
      </c>
      <c r="I431" s="192">
        <f t="shared" si="136"/>
        <v>-208.54166666666666</v>
      </c>
      <c r="J431" s="47">
        <f t="shared" si="130"/>
        <v>-42076.666666666613</v>
      </c>
      <c r="K431" s="47">
        <f t="shared" si="133"/>
        <v>-22923.333333333307</v>
      </c>
    </row>
    <row r="432" spans="1:11" ht="15.6" customHeight="1">
      <c r="A432" s="137">
        <v>41973</v>
      </c>
      <c r="B432" s="47">
        <v>-65000</v>
      </c>
      <c r="C432" s="47">
        <f t="shared" si="131"/>
        <v>4075.5000000000023</v>
      </c>
      <c r="D432" s="47">
        <f t="shared" si="127"/>
        <v>-60924.5</v>
      </c>
      <c r="E432" s="41">
        <f t="shared" si="135"/>
        <v>15062.26702500001</v>
      </c>
      <c r="F432" s="140">
        <f t="shared" si="125"/>
        <v>-65000</v>
      </c>
      <c r="G432" s="47">
        <f t="shared" si="129"/>
        <v>-4075.5000000000023</v>
      </c>
      <c r="H432" s="52">
        <f t="shared" si="126"/>
        <v>15062.26702500001</v>
      </c>
      <c r="I432" s="192">
        <f t="shared" si="136"/>
        <v>-208.54166666666666</v>
      </c>
      <c r="J432" s="47">
        <f t="shared" si="130"/>
        <v>-42285.208333333278</v>
      </c>
      <c r="K432" s="47">
        <f t="shared" si="133"/>
        <v>-22714.791666666639</v>
      </c>
    </row>
    <row r="433" spans="1:11">
      <c r="A433" s="137">
        <v>42004</v>
      </c>
      <c r="B433" s="47">
        <v>-65000</v>
      </c>
      <c r="C433" s="47">
        <f t="shared" si="131"/>
        <v>4188.7083333333358</v>
      </c>
      <c r="D433" s="47">
        <f t="shared" si="127"/>
        <v>-60811.291666666664</v>
      </c>
      <c r="E433" s="41">
        <f t="shared" si="135"/>
        <v>15099.847425000011</v>
      </c>
      <c r="F433" s="140">
        <f t="shared" si="125"/>
        <v>-65000</v>
      </c>
      <c r="G433" s="47">
        <f t="shared" si="129"/>
        <v>-4188.7083333333358</v>
      </c>
      <c r="H433" s="52">
        <f t="shared" si="126"/>
        <v>15099.847425000011</v>
      </c>
      <c r="I433" s="192">
        <f t="shared" si="136"/>
        <v>-208.54166666666666</v>
      </c>
      <c r="J433" s="47">
        <f t="shared" si="130"/>
        <v>-42493.749999999942</v>
      </c>
      <c r="K433" s="47">
        <f t="shared" si="133"/>
        <v>-22506.249999999971</v>
      </c>
    </row>
    <row r="434" spans="1:11">
      <c r="A434" s="137">
        <v>42035</v>
      </c>
      <c r="B434" s="47">
        <v>-65000</v>
      </c>
      <c r="C434" s="47">
        <f t="shared" si="131"/>
        <v>4301.9166666666688</v>
      </c>
      <c r="D434" s="47">
        <f t="shared" si="127"/>
        <v>-60698.083333333328</v>
      </c>
      <c r="E434" s="41">
        <f>(-D434+K434)*0.3919</f>
        <v>15040.934214583343</v>
      </c>
      <c r="F434" s="140">
        <f t="shared" si="125"/>
        <v>-65000</v>
      </c>
      <c r="G434" s="47">
        <f t="shared" si="129"/>
        <v>-4301.9166666666688</v>
      </c>
      <c r="H434" s="52">
        <f t="shared" si="126"/>
        <v>15040.934214583343</v>
      </c>
      <c r="I434" s="192">
        <f>+$B$409*0.03465/12</f>
        <v>-187.6875</v>
      </c>
      <c r="J434" s="47">
        <f t="shared" si="130"/>
        <v>-42681.437499999942</v>
      </c>
      <c r="K434" s="47">
        <f t="shared" si="133"/>
        <v>-22318.562499999971</v>
      </c>
    </row>
    <row r="435" spans="1:11">
      <c r="A435" s="137">
        <v>42063</v>
      </c>
      <c r="B435" s="47">
        <v>-65000</v>
      </c>
      <c r="C435" s="47">
        <f t="shared" si="131"/>
        <v>4415.1250000000018</v>
      </c>
      <c r="D435" s="47">
        <f t="shared" si="127"/>
        <v>-60584.875</v>
      </c>
      <c r="E435" s="41">
        <f t="shared" ref="E435:E445" si="137">(-D435+K435)*0.3919</f>
        <v>15070.122600000012</v>
      </c>
      <c r="F435" s="140">
        <f t="shared" si="125"/>
        <v>-65000</v>
      </c>
      <c r="G435" s="47">
        <f t="shared" si="129"/>
        <v>-4415.1250000000018</v>
      </c>
      <c r="H435" s="52">
        <f t="shared" si="126"/>
        <v>15070.122600000012</v>
      </c>
      <c r="I435" s="192">
        <f t="shared" ref="I435:I444" si="138">+$B$409*0.03465/12</f>
        <v>-187.6875</v>
      </c>
      <c r="J435" s="47">
        <f t="shared" si="130"/>
        <v>-42869.124999999942</v>
      </c>
      <c r="K435" s="47">
        <f t="shared" si="133"/>
        <v>-22130.874999999971</v>
      </c>
    </row>
    <row r="436" spans="1:11">
      <c r="A436" s="137">
        <v>42094</v>
      </c>
      <c r="B436" s="47">
        <v>-65000</v>
      </c>
      <c r="C436" s="47">
        <f t="shared" si="131"/>
        <v>4528.3333333333348</v>
      </c>
      <c r="D436" s="47">
        <f t="shared" si="127"/>
        <v>-60471.666666666664</v>
      </c>
      <c r="E436" s="41">
        <f t="shared" si="137"/>
        <v>15099.310985416678</v>
      </c>
      <c r="F436" s="140">
        <f t="shared" si="125"/>
        <v>-65000</v>
      </c>
      <c r="G436" s="47">
        <f t="shared" si="129"/>
        <v>-4528.3333333333348</v>
      </c>
      <c r="H436" s="52">
        <f t="shared" si="126"/>
        <v>15099.310985416678</v>
      </c>
      <c r="I436" s="192">
        <f t="shared" si="138"/>
        <v>-187.6875</v>
      </c>
      <c r="J436" s="47">
        <f t="shared" si="130"/>
        <v>-43056.812499999942</v>
      </c>
      <c r="K436" s="47">
        <f t="shared" si="133"/>
        <v>-21943.187499999971</v>
      </c>
    </row>
    <row r="437" spans="1:11">
      <c r="A437" s="137">
        <v>42124</v>
      </c>
      <c r="B437" s="47">
        <v>-65000</v>
      </c>
      <c r="C437" s="47">
        <f t="shared" si="131"/>
        <v>4641.5416666666679</v>
      </c>
      <c r="D437" s="47">
        <f t="shared" si="127"/>
        <v>-60358.458333333328</v>
      </c>
      <c r="E437" s="41">
        <f t="shared" si="137"/>
        <v>15128.499370833344</v>
      </c>
      <c r="F437" s="140">
        <f t="shared" si="125"/>
        <v>-65000</v>
      </c>
      <c r="G437" s="47">
        <f t="shared" si="129"/>
        <v>-4641.5416666666679</v>
      </c>
      <c r="H437" s="52">
        <f t="shared" si="126"/>
        <v>15128.499370833344</v>
      </c>
      <c r="I437" s="192">
        <f t="shared" si="138"/>
        <v>-187.6875</v>
      </c>
      <c r="J437" s="47">
        <f t="shared" si="130"/>
        <v>-43244.499999999942</v>
      </c>
      <c r="K437" s="47">
        <f t="shared" si="133"/>
        <v>-21755.499999999971</v>
      </c>
    </row>
    <row r="438" spans="1:11">
      <c r="A438" s="137">
        <v>42155</v>
      </c>
      <c r="B438" s="47">
        <v>-65000</v>
      </c>
      <c r="C438" s="47">
        <f t="shared" si="131"/>
        <v>4754.7500000000009</v>
      </c>
      <c r="D438" s="47">
        <f t="shared" si="127"/>
        <v>-60245.25</v>
      </c>
      <c r="E438" s="41">
        <f t="shared" si="137"/>
        <v>15157.687756250012</v>
      </c>
      <c r="F438" s="140">
        <f>B438</f>
        <v>-65000</v>
      </c>
      <c r="G438" s="47">
        <f t="shared" si="129"/>
        <v>-4754.7500000000009</v>
      </c>
      <c r="H438" s="52">
        <f t="shared" si="126"/>
        <v>15157.687756250012</v>
      </c>
      <c r="I438" s="192">
        <f t="shared" si="138"/>
        <v>-187.6875</v>
      </c>
      <c r="J438" s="47">
        <f t="shared" si="130"/>
        <v>-43432.187499999942</v>
      </c>
      <c r="K438" s="47">
        <f t="shared" si="133"/>
        <v>-21567.812499999971</v>
      </c>
    </row>
    <row r="439" spans="1:11">
      <c r="A439" s="137">
        <v>42185</v>
      </c>
      <c r="B439" s="47">
        <v>-65000</v>
      </c>
      <c r="C439" s="47">
        <f t="shared" si="131"/>
        <v>4867.9583333333339</v>
      </c>
      <c r="D439" s="47">
        <f t="shared" si="127"/>
        <v>-60132.041666666664</v>
      </c>
      <c r="E439" s="41">
        <f t="shared" si="137"/>
        <v>15186.876141666678</v>
      </c>
      <c r="F439" s="140">
        <f t="shared" si="125"/>
        <v>-65000</v>
      </c>
      <c r="G439" s="47">
        <f t="shared" si="129"/>
        <v>-4867.9583333333339</v>
      </c>
      <c r="H439" s="52">
        <f t="shared" si="126"/>
        <v>15186.876141666678</v>
      </c>
      <c r="I439" s="192">
        <f t="shared" si="138"/>
        <v>-187.6875</v>
      </c>
      <c r="J439" s="47">
        <f t="shared" si="130"/>
        <v>-43619.874999999942</v>
      </c>
      <c r="K439" s="47">
        <f t="shared" si="133"/>
        <v>-21380.124999999971</v>
      </c>
    </row>
    <row r="440" spans="1:11">
      <c r="A440" s="137">
        <v>42216</v>
      </c>
      <c r="B440" s="47">
        <v>-65000</v>
      </c>
      <c r="C440" s="47">
        <f t="shared" si="131"/>
        <v>4981.166666666667</v>
      </c>
      <c r="D440" s="47">
        <f t="shared" si="127"/>
        <v>-60018.833333333336</v>
      </c>
      <c r="E440" s="41">
        <f t="shared" si="137"/>
        <v>15216.064527083347</v>
      </c>
      <c r="F440" s="140">
        <f t="shared" si="125"/>
        <v>-65000</v>
      </c>
      <c r="G440" s="47">
        <f t="shared" si="129"/>
        <v>-4981.166666666667</v>
      </c>
      <c r="H440" s="52">
        <f t="shared" si="126"/>
        <v>15216.064527083347</v>
      </c>
      <c r="I440" s="192">
        <f t="shared" si="138"/>
        <v>-187.6875</v>
      </c>
      <c r="J440" s="47">
        <f t="shared" si="130"/>
        <v>-43807.562499999942</v>
      </c>
      <c r="K440" s="47">
        <f t="shared" si="133"/>
        <v>-21192.437499999971</v>
      </c>
    </row>
    <row r="441" spans="1:11">
      <c r="A441" s="137">
        <v>42247</v>
      </c>
      <c r="B441" s="47">
        <v>-65000</v>
      </c>
      <c r="C441" s="47">
        <f t="shared" si="131"/>
        <v>5094.375</v>
      </c>
      <c r="D441" s="47">
        <f t="shared" si="127"/>
        <v>-59905.625</v>
      </c>
      <c r="E441" s="41">
        <f t="shared" si="137"/>
        <v>15245.252912500013</v>
      </c>
      <c r="F441" s="140">
        <f t="shared" si="125"/>
        <v>-65000</v>
      </c>
      <c r="G441" s="47">
        <f t="shared" si="129"/>
        <v>-5094.375</v>
      </c>
      <c r="H441" s="52">
        <f t="shared" si="126"/>
        <v>15245.252912500013</v>
      </c>
      <c r="I441" s="192">
        <f t="shared" si="138"/>
        <v>-187.6875</v>
      </c>
      <c r="J441" s="47">
        <f t="shared" si="130"/>
        <v>-43995.249999999942</v>
      </c>
      <c r="K441" s="47">
        <f t="shared" si="133"/>
        <v>-21004.749999999971</v>
      </c>
    </row>
    <row r="442" spans="1:11">
      <c r="A442" s="137">
        <v>42277</v>
      </c>
      <c r="B442" s="47">
        <v>-65000</v>
      </c>
      <c r="C442" s="47">
        <f t="shared" si="131"/>
        <v>5207.583333333333</v>
      </c>
      <c r="D442" s="47">
        <f t="shared" si="127"/>
        <v>-59792.416666666664</v>
      </c>
      <c r="E442" s="41">
        <f t="shared" si="137"/>
        <v>15274.441297916677</v>
      </c>
      <c r="F442" s="140">
        <f t="shared" si="125"/>
        <v>-65000</v>
      </c>
      <c r="G442" s="47">
        <f t="shared" si="129"/>
        <v>-5207.583333333333</v>
      </c>
      <c r="H442" s="52">
        <f t="shared" si="126"/>
        <v>15274.441297916677</v>
      </c>
      <c r="I442" s="192">
        <f t="shared" si="138"/>
        <v>-187.6875</v>
      </c>
      <c r="J442" s="47">
        <f t="shared" si="130"/>
        <v>-44182.937499999942</v>
      </c>
      <c r="K442" s="47">
        <f t="shared" si="133"/>
        <v>-20817.062499999971</v>
      </c>
    </row>
    <row r="443" spans="1:11">
      <c r="A443" s="137">
        <v>42308</v>
      </c>
      <c r="B443" s="47">
        <v>-65000</v>
      </c>
      <c r="C443" s="47">
        <f t="shared" si="131"/>
        <v>5320.7916666666661</v>
      </c>
      <c r="D443" s="47">
        <f t="shared" si="127"/>
        <v>-59679.208333333336</v>
      </c>
      <c r="E443" s="41">
        <f t="shared" si="137"/>
        <v>15303.629683333347</v>
      </c>
      <c r="F443" s="140">
        <f t="shared" si="125"/>
        <v>-65000</v>
      </c>
      <c r="G443" s="47">
        <f t="shared" si="129"/>
        <v>-5320.7916666666661</v>
      </c>
      <c r="H443" s="52">
        <f t="shared" si="126"/>
        <v>15303.629683333347</v>
      </c>
      <c r="I443" s="192">
        <f t="shared" si="138"/>
        <v>-187.6875</v>
      </c>
      <c r="J443" s="47">
        <f t="shared" si="130"/>
        <v>-44370.624999999942</v>
      </c>
      <c r="K443" s="47">
        <f t="shared" si="133"/>
        <v>-20629.374999999971</v>
      </c>
    </row>
    <row r="444" spans="1:11">
      <c r="A444" s="137">
        <v>42338</v>
      </c>
      <c r="B444" s="47">
        <v>-65000</v>
      </c>
      <c r="C444" s="47">
        <f t="shared" si="131"/>
        <v>5433.9999999999991</v>
      </c>
      <c r="D444" s="47">
        <f t="shared" si="127"/>
        <v>-59566</v>
      </c>
      <c r="E444" s="41">
        <f t="shared" si="137"/>
        <v>15332.818068750012</v>
      </c>
      <c r="F444" s="140">
        <f t="shared" si="125"/>
        <v>-65000</v>
      </c>
      <c r="G444" s="47">
        <f t="shared" si="129"/>
        <v>-5433.9999999999991</v>
      </c>
      <c r="H444" s="52">
        <f t="shared" si="126"/>
        <v>15332.818068750012</v>
      </c>
      <c r="I444" s="192">
        <f t="shared" si="138"/>
        <v>-187.6875</v>
      </c>
      <c r="J444" s="47">
        <f t="shared" si="130"/>
        <v>-44558.312499999942</v>
      </c>
      <c r="K444" s="47">
        <f t="shared" si="133"/>
        <v>-20441.687499999971</v>
      </c>
    </row>
    <row r="445" spans="1:11">
      <c r="A445" s="137">
        <v>42369</v>
      </c>
      <c r="B445" s="47">
        <v>-65000</v>
      </c>
      <c r="C445" s="47">
        <f t="shared" si="131"/>
        <v>5547.2083333333321</v>
      </c>
      <c r="D445" s="47">
        <f t="shared" si="127"/>
        <v>-59452.791666666672</v>
      </c>
      <c r="E445" s="41">
        <f t="shared" si="137"/>
        <v>15362.006454166682</v>
      </c>
      <c r="F445" s="140">
        <f t="shared" si="125"/>
        <v>-65000</v>
      </c>
      <c r="G445" s="47">
        <f t="shared" si="129"/>
        <v>-5547.2083333333321</v>
      </c>
      <c r="H445" s="52">
        <f t="shared" si="126"/>
        <v>15362.006454166682</v>
      </c>
      <c r="I445" s="192">
        <f>+$B$409*0.03465/12</f>
        <v>-187.6875</v>
      </c>
      <c r="J445" s="47">
        <f t="shared" si="130"/>
        <v>-44745.999999999942</v>
      </c>
      <c r="K445" s="47">
        <f t="shared" si="133"/>
        <v>-20253.999999999971</v>
      </c>
    </row>
    <row r="446" spans="1:11">
      <c r="A446" s="137">
        <v>42400</v>
      </c>
      <c r="B446" s="47">
        <v>-65000</v>
      </c>
      <c r="C446" s="47">
        <f t="shared" si="131"/>
        <v>5660.4166666666652</v>
      </c>
      <c r="D446" s="47">
        <f t="shared" si="127"/>
        <v>-59339.583333333336</v>
      </c>
      <c r="E446" s="41">
        <f>(-D446+K446)*0.3902</f>
        <v>15317.032737500011</v>
      </c>
      <c r="F446" s="140">
        <f t="shared" si="125"/>
        <v>-65000</v>
      </c>
      <c r="G446" s="47">
        <f t="shared" si="129"/>
        <v>-5660.4166666666652</v>
      </c>
      <c r="H446" s="52">
        <f t="shared" si="126"/>
        <v>15317.032737500011</v>
      </c>
      <c r="I446" s="192">
        <f>+$B$409*0.03115/12</f>
        <v>-168.72916666666666</v>
      </c>
      <c r="J446" s="47">
        <f t="shared" si="130"/>
        <v>-44914.729166666606</v>
      </c>
      <c r="K446" s="47">
        <f t="shared" si="133"/>
        <v>-20085.270833333303</v>
      </c>
    </row>
    <row r="447" spans="1:11">
      <c r="A447" s="137">
        <v>42429</v>
      </c>
      <c r="B447" s="47">
        <v>-65000</v>
      </c>
      <c r="C447" s="47">
        <f t="shared" si="131"/>
        <v>5773.6249999999982</v>
      </c>
      <c r="D447" s="47">
        <f t="shared" si="127"/>
        <v>-59226.375</v>
      </c>
      <c r="E447" s="41">
        <f t="shared" ref="E447:E457" si="139">(-D447+K447)*0.3902</f>
        <v>15338.696966666679</v>
      </c>
      <c r="F447" s="140">
        <f t="shared" si="125"/>
        <v>-65000</v>
      </c>
      <c r="G447" s="47">
        <f t="shared" si="129"/>
        <v>-5773.6249999999982</v>
      </c>
      <c r="H447" s="52">
        <f t="shared" si="126"/>
        <v>15338.696966666679</v>
      </c>
      <c r="I447" s="192">
        <f t="shared" ref="I447:I457" si="140">+$B$409*0.03115/12</f>
        <v>-168.72916666666666</v>
      </c>
      <c r="J447" s="47">
        <f t="shared" si="130"/>
        <v>-45083.45833333327</v>
      </c>
      <c r="K447" s="47">
        <f t="shared" si="133"/>
        <v>-19916.541666666635</v>
      </c>
    </row>
    <row r="448" spans="1:11">
      <c r="A448" s="137">
        <v>42460</v>
      </c>
      <c r="B448" s="47">
        <v>-65000</v>
      </c>
      <c r="C448" s="47">
        <f t="shared" si="131"/>
        <v>5886.8333333333312</v>
      </c>
      <c r="D448" s="47">
        <f t="shared" si="127"/>
        <v>-59113.166666666672</v>
      </c>
      <c r="E448" s="41">
        <f t="shared" si="139"/>
        <v>15360.361195833346</v>
      </c>
      <c r="F448" s="140">
        <f t="shared" si="125"/>
        <v>-65000</v>
      </c>
      <c r="G448" s="47">
        <f t="shared" si="129"/>
        <v>-5886.8333333333312</v>
      </c>
      <c r="H448" s="52">
        <f t="shared" si="126"/>
        <v>15360.361195833346</v>
      </c>
      <c r="I448" s="192">
        <f t="shared" si="140"/>
        <v>-168.72916666666666</v>
      </c>
      <c r="J448" s="47">
        <f t="shared" si="130"/>
        <v>-45252.187499999935</v>
      </c>
      <c r="K448" s="47">
        <f t="shared" si="133"/>
        <v>-19747.812499999967</v>
      </c>
    </row>
    <row r="449" spans="1:11">
      <c r="A449" s="137">
        <v>42490</v>
      </c>
      <c r="B449" s="47">
        <v>-65000</v>
      </c>
      <c r="C449" s="47">
        <f t="shared" si="131"/>
        <v>6000.0416666666642</v>
      </c>
      <c r="D449" s="47">
        <f t="shared" si="127"/>
        <v>-58999.958333333336</v>
      </c>
      <c r="E449" s="41">
        <f t="shared" si="139"/>
        <v>15382.025425000014</v>
      </c>
      <c r="F449" s="140">
        <f t="shared" si="125"/>
        <v>-65000</v>
      </c>
      <c r="G449" s="47">
        <f t="shared" si="129"/>
        <v>-6000.0416666666642</v>
      </c>
      <c r="H449" s="52">
        <f t="shared" si="126"/>
        <v>15382.025425000014</v>
      </c>
      <c r="I449" s="192">
        <f t="shared" si="140"/>
        <v>-168.72916666666666</v>
      </c>
      <c r="J449" s="47">
        <f t="shared" si="130"/>
        <v>-45420.916666666599</v>
      </c>
      <c r="K449" s="47">
        <f t="shared" si="133"/>
        <v>-19579.083333333299</v>
      </c>
    </row>
    <row r="450" spans="1:11">
      <c r="A450" s="137">
        <v>42521</v>
      </c>
      <c r="B450" s="47">
        <v>-65000</v>
      </c>
      <c r="C450" s="47">
        <f t="shared" si="131"/>
        <v>6113.2499999999973</v>
      </c>
      <c r="D450" s="47">
        <f t="shared" si="127"/>
        <v>-58886.75</v>
      </c>
      <c r="E450" s="41">
        <f t="shared" si="139"/>
        <v>15403.689654166681</v>
      </c>
      <c r="F450" s="140">
        <f t="shared" si="125"/>
        <v>-65000</v>
      </c>
      <c r="G450" s="47">
        <f t="shared" si="129"/>
        <v>-6113.2499999999973</v>
      </c>
      <c r="H450" s="52">
        <f t="shared" si="126"/>
        <v>15403.689654166681</v>
      </c>
      <c r="I450" s="192">
        <f t="shared" si="140"/>
        <v>-168.72916666666666</v>
      </c>
      <c r="J450" s="47">
        <f t="shared" si="130"/>
        <v>-45589.645833333263</v>
      </c>
      <c r="K450" s="47">
        <f t="shared" si="133"/>
        <v>-19410.354166666631</v>
      </c>
    </row>
    <row r="451" spans="1:11">
      <c r="A451" s="137">
        <v>42551</v>
      </c>
      <c r="B451" s="47">
        <v>-65000</v>
      </c>
      <c r="C451" s="47">
        <f t="shared" si="131"/>
        <v>6226.4583333333303</v>
      </c>
      <c r="D451" s="47">
        <f t="shared" si="127"/>
        <v>-58773.541666666672</v>
      </c>
      <c r="E451" s="41">
        <f t="shared" si="139"/>
        <v>15425.35388333335</v>
      </c>
      <c r="F451" s="140">
        <f t="shared" si="125"/>
        <v>-65000</v>
      </c>
      <c r="G451" s="47">
        <f t="shared" si="129"/>
        <v>-6226.4583333333303</v>
      </c>
      <c r="H451" s="52">
        <f t="shared" si="126"/>
        <v>15425.35388333335</v>
      </c>
      <c r="I451" s="192">
        <f t="shared" si="140"/>
        <v>-168.72916666666666</v>
      </c>
      <c r="J451" s="47">
        <f t="shared" si="130"/>
        <v>-45758.374999999927</v>
      </c>
      <c r="K451" s="47">
        <f t="shared" si="133"/>
        <v>-19241.624999999964</v>
      </c>
    </row>
    <row r="452" spans="1:11">
      <c r="A452" s="137">
        <v>42582</v>
      </c>
      <c r="B452" s="47">
        <v>-65000</v>
      </c>
      <c r="C452" s="47">
        <f t="shared" si="131"/>
        <v>6339.6666666666633</v>
      </c>
      <c r="D452" s="47">
        <f t="shared" si="127"/>
        <v>-58660.333333333336</v>
      </c>
      <c r="E452" s="41">
        <f t="shared" si="139"/>
        <v>15447.018112500016</v>
      </c>
      <c r="F452" s="140">
        <f t="shared" si="125"/>
        <v>-65000</v>
      </c>
      <c r="G452" s="47">
        <f t="shared" si="129"/>
        <v>-6339.6666666666633</v>
      </c>
      <c r="H452" s="52">
        <f t="shared" si="126"/>
        <v>15447.018112500016</v>
      </c>
      <c r="I452" s="192">
        <f t="shared" si="140"/>
        <v>-168.72916666666666</v>
      </c>
      <c r="J452" s="47">
        <f t="shared" si="130"/>
        <v>-45927.104166666591</v>
      </c>
      <c r="K452" s="47">
        <f t="shared" si="133"/>
        <v>-19072.895833333296</v>
      </c>
    </row>
    <row r="453" spans="1:11">
      <c r="A453" s="137">
        <v>42613</v>
      </c>
      <c r="B453" s="47">
        <v>-65000</v>
      </c>
      <c r="C453" s="47">
        <f t="shared" si="131"/>
        <v>6452.8749999999964</v>
      </c>
      <c r="D453" s="47">
        <f t="shared" si="127"/>
        <v>-58547.125</v>
      </c>
      <c r="E453" s="41">
        <f t="shared" si="139"/>
        <v>15468.682341666681</v>
      </c>
      <c r="F453" s="140">
        <f t="shared" si="125"/>
        <v>-65000</v>
      </c>
      <c r="G453" s="47">
        <f t="shared" si="129"/>
        <v>-6452.8749999999964</v>
      </c>
      <c r="H453" s="52">
        <f t="shared" si="126"/>
        <v>15468.682341666681</v>
      </c>
      <c r="I453" s="192">
        <f t="shared" si="140"/>
        <v>-168.72916666666666</v>
      </c>
      <c r="J453" s="47">
        <f t="shared" si="130"/>
        <v>-46095.833333333256</v>
      </c>
      <c r="K453" s="47">
        <f t="shared" si="133"/>
        <v>-18904.166666666628</v>
      </c>
    </row>
    <row r="454" spans="1:11">
      <c r="A454" s="137">
        <v>42643</v>
      </c>
      <c r="B454" s="47">
        <v>-65000</v>
      </c>
      <c r="C454" s="47">
        <f t="shared" si="131"/>
        <v>6566.0833333333294</v>
      </c>
      <c r="D454" s="47">
        <f t="shared" si="127"/>
        <v>-58433.916666666672</v>
      </c>
      <c r="E454" s="41">
        <f t="shared" si="139"/>
        <v>15490.346570833352</v>
      </c>
      <c r="F454" s="140">
        <f t="shared" si="125"/>
        <v>-65000</v>
      </c>
      <c r="G454" s="47">
        <f t="shared" si="129"/>
        <v>-6566.0833333333294</v>
      </c>
      <c r="H454" s="52">
        <f t="shared" si="126"/>
        <v>15490.346570833352</v>
      </c>
      <c r="I454" s="192">
        <f t="shared" si="140"/>
        <v>-168.72916666666666</v>
      </c>
      <c r="J454" s="47">
        <f t="shared" si="130"/>
        <v>-46264.56249999992</v>
      </c>
      <c r="K454" s="47">
        <f t="shared" si="133"/>
        <v>-18735.43749999996</v>
      </c>
    </row>
    <row r="455" spans="1:11">
      <c r="A455" s="137">
        <v>42674</v>
      </c>
      <c r="B455" s="47">
        <v>-65000</v>
      </c>
      <c r="C455" s="47">
        <f t="shared" si="131"/>
        <v>6679.2916666666624</v>
      </c>
      <c r="D455" s="47">
        <f t="shared" si="127"/>
        <v>-58320.708333333336</v>
      </c>
      <c r="E455" s="41">
        <f t="shared" si="139"/>
        <v>15512.010800000016</v>
      </c>
      <c r="F455" s="140">
        <f t="shared" si="125"/>
        <v>-65000</v>
      </c>
      <c r="G455" s="47">
        <f t="shared" si="129"/>
        <v>-6679.2916666666624</v>
      </c>
      <c r="H455" s="52">
        <f t="shared" si="126"/>
        <v>15512.010800000016</v>
      </c>
      <c r="I455" s="192">
        <f t="shared" si="140"/>
        <v>-168.72916666666666</v>
      </c>
      <c r="J455" s="47">
        <f t="shared" si="130"/>
        <v>-46433.291666666584</v>
      </c>
      <c r="K455" s="47">
        <f t="shared" si="133"/>
        <v>-18566.708333333292</v>
      </c>
    </row>
    <row r="456" spans="1:11">
      <c r="A456" s="137">
        <v>42704</v>
      </c>
      <c r="B456" s="47">
        <v>-65000</v>
      </c>
      <c r="C456" s="47">
        <f t="shared" si="131"/>
        <v>6792.4999999999955</v>
      </c>
      <c r="D456" s="47">
        <f t="shared" si="127"/>
        <v>-58207.500000000007</v>
      </c>
      <c r="E456" s="41">
        <f t="shared" si="139"/>
        <v>15533.675029166687</v>
      </c>
      <c r="F456" s="140">
        <f t="shared" si="125"/>
        <v>-65000</v>
      </c>
      <c r="G456" s="47">
        <f>-C456</f>
        <v>-6792.4999999999955</v>
      </c>
      <c r="H456" s="52">
        <f t="shared" si="126"/>
        <v>15533.675029166687</v>
      </c>
      <c r="I456" s="192">
        <f t="shared" si="140"/>
        <v>-168.72916666666666</v>
      </c>
      <c r="J456" s="47">
        <f t="shared" si="130"/>
        <v>-46602.020833333248</v>
      </c>
      <c r="K456" s="47">
        <f t="shared" si="133"/>
        <v>-18397.979166666624</v>
      </c>
    </row>
    <row r="457" spans="1:11">
      <c r="A457" s="137">
        <v>42735</v>
      </c>
      <c r="B457" s="47">
        <v>-65000</v>
      </c>
      <c r="C457" s="47">
        <f t="shared" si="131"/>
        <v>6905.7083333333285</v>
      </c>
      <c r="D457" s="47">
        <f t="shared" si="127"/>
        <v>-58094.291666666672</v>
      </c>
      <c r="E457" s="41">
        <f t="shared" si="139"/>
        <v>15555.339258333352</v>
      </c>
      <c r="F457" s="140">
        <f t="shared" si="125"/>
        <v>-65000</v>
      </c>
      <c r="G457" s="47">
        <f t="shared" si="129"/>
        <v>-6905.7083333333285</v>
      </c>
      <c r="H457" s="52">
        <f t="shared" si="126"/>
        <v>15555.339258333352</v>
      </c>
      <c r="I457" s="192">
        <f t="shared" si="140"/>
        <v>-168.72916666666666</v>
      </c>
      <c r="J457" s="47">
        <f t="shared" si="130"/>
        <v>-46770.749999999913</v>
      </c>
      <c r="K457" s="47">
        <f t="shared" si="133"/>
        <v>-18229.249999999956</v>
      </c>
    </row>
    <row r="458" spans="1:11">
      <c r="A458" s="137">
        <v>42766</v>
      </c>
      <c r="B458" s="47">
        <v>-65000</v>
      </c>
      <c r="C458" s="47">
        <f t="shared" si="131"/>
        <v>7018.9166666666615</v>
      </c>
      <c r="D458" s="47">
        <f t="shared" si="127"/>
        <v>-57981.083333333336</v>
      </c>
      <c r="E458" s="41">
        <f>(-D458+K458)*0.388</f>
        <v>15485.710500000017</v>
      </c>
      <c r="F458" s="140">
        <f t="shared" si="125"/>
        <v>-65000</v>
      </c>
      <c r="G458" s="47">
        <f t="shared" si="129"/>
        <v>-7018.9166666666615</v>
      </c>
      <c r="H458" s="52">
        <f t="shared" si="126"/>
        <v>15485.710500000017</v>
      </c>
      <c r="I458" s="192">
        <f>+$B$409*0.0295/12</f>
        <v>-159.79166666666666</v>
      </c>
      <c r="J458" s="47">
        <f t="shared" si="130"/>
        <v>-46930.541666666577</v>
      </c>
      <c r="K458" s="47">
        <f t="shared" si="133"/>
        <v>-18069.458333333288</v>
      </c>
    </row>
    <row r="459" spans="1:11">
      <c r="A459" s="137">
        <v>42794</v>
      </c>
      <c r="B459" s="47">
        <v>-65000</v>
      </c>
      <c r="C459" s="47">
        <f t="shared" si="131"/>
        <v>7132.1249999999945</v>
      </c>
      <c r="D459" s="47">
        <f t="shared" si="127"/>
        <v>-57867.875000000007</v>
      </c>
      <c r="E459" s="41">
        <f t="shared" ref="E459:E469" si="141">(-D459+K459)*0.388</f>
        <v>15503.784833333355</v>
      </c>
      <c r="F459" s="140">
        <f t="shared" si="125"/>
        <v>-65000</v>
      </c>
      <c r="G459" s="47">
        <f t="shared" si="129"/>
        <v>-7132.1249999999945</v>
      </c>
      <c r="H459" s="52">
        <f t="shared" si="126"/>
        <v>15503.784833333355</v>
      </c>
      <c r="I459" s="192">
        <f t="shared" ref="I459:I481" si="142">+$B$409*0.0295/12</f>
        <v>-159.79166666666666</v>
      </c>
      <c r="J459" s="47">
        <f t="shared" si="130"/>
        <v>-47090.333333333241</v>
      </c>
      <c r="K459" s="47">
        <f t="shared" si="133"/>
        <v>-17909.666666666621</v>
      </c>
    </row>
    <row r="460" spans="1:11">
      <c r="A460" s="137">
        <v>42825</v>
      </c>
      <c r="B460" s="47">
        <v>-65000</v>
      </c>
      <c r="C460" s="47">
        <f t="shared" si="131"/>
        <v>7245.3333333333276</v>
      </c>
      <c r="D460" s="47">
        <f t="shared" si="127"/>
        <v>-57754.666666666672</v>
      </c>
      <c r="E460" s="41">
        <f t="shared" si="141"/>
        <v>15521.859166666685</v>
      </c>
      <c r="F460" s="140">
        <f t="shared" si="125"/>
        <v>-65000</v>
      </c>
      <c r="G460" s="47">
        <f t="shared" si="129"/>
        <v>-7245.3333333333276</v>
      </c>
      <c r="H460" s="52">
        <f t="shared" si="126"/>
        <v>15521.859166666685</v>
      </c>
      <c r="I460" s="192">
        <f t="shared" si="142"/>
        <v>-159.79166666666666</v>
      </c>
      <c r="J460" s="47">
        <f t="shared" si="130"/>
        <v>-47250.124999999905</v>
      </c>
      <c r="K460" s="47">
        <f t="shared" si="133"/>
        <v>-17749.874999999953</v>
      </c>
    </row>
    <row r="461" spans="1:11">
      <c r="A461" s="137">
        <v>42855</v>
      </c>
      <c r="B461" s="47">
        <v>-65000</v>
      </c>
      <c r="C461" s="47">
        <f t="shared" si="131"/>
        <v>7358.5416666666606</v>
      </c>
      <c r="D461" s="47">
        <f t="shared" si="127"/>
        <v>-57641.458333333343</v>
      </c>
      <c r="E461" s="41">
        <f t="shared" si="141"/>
        <v>15539.933500000023</v>
      </c>
      <c r="F461" s="140">
        <f t="shared" ref="F461:F480" si="143">B461</f>
        <v>-65000</v>
      </c>
      <c r="G461" s="47">
        <f t="shared" si="129"/>
        <v>-7358.5416666666606</v>
      </c>
      <c r="H461" s="52">
        <f t="shared" ref="H461:H480" si="144">E461</f>
        <v>15539.933500000023</v>
      </c>
      <c r="I461" s="192">
        <f t="shared" si="142"/>
        <v>-159.79166666666666</v>
      </c>
      <c r="J461" s="47">
        <f t="shared" si="130"/>
        <v>-47409.91666666657</v>
      </c>
      <c r="K461" s="47">
        <f t="shared" si="133"/>
        <v>-17590.083333333285</v>
      </c>
    </row>
    <row r="462" spans="1:11">
      <c r="A462" s="137">
        <v>42886</v>
      </c>
      <c r="B462" s="47">
        <v>-65000</v>
      </c>
      <c r="C462" s="47">
        <f t="shared" si="131"/>
        <v>7471.7499999999936</v>
      </c>
      <c r="D462" s="47">
        <f t="shared" ref="D462:D480" si="145">+B462+C462</f>
        <v>-57528.250000000007</v>
      </c>
      <c r="E462" s="41">
        <f t="shared" si="141"/>
        <v>15558.007833333355</v>
      </c>
      <c r="F462" s="140">
        <f t="shared" si="143"/>
        <v>-65000</v>
      </c>
      <c r="G462" s="47">
        <f t="shared" ref="G462:G480" si="146">-C462</f>
        <v>-7471.7499999999936</v>
      </c>
      <c r="H462" s="52">
        <f t="shared" si="144"/>
        <v>15558.007833333355</v>
      </c>
      <c r="I462" s="192">
        <f t="shared" si="142"/>
        <v>-159.79166666666666</v>
      </c>
      <c r="J462" s="47">
        <f t="shared" ref="J462:J480" si="147">+I462+J461</f>
        <v>-47569.708333333234</v>
      </c>
      <c r="K462" s="47">
        <f t="shared" si="133"/>
        <v>-17430.291666666617</v>
      </c>
    </row>
    <row r="463" spans="1:11">
      <c r="A463" s="137">
        <v>42916</v>
      </c>
      <c r="B463" s="47">
        <v>-65000</v>
      </c>
      <c r="C463" s="47">
        <f t="shared" ref="C463:C480" si="148">-B463*$C$5/12+C462</f>
        <v>7584.9583333333267</v>
      </c>
      <c r="D463" s="47">
        <f t="shared" si="145"/>
        <v>-57415.041666666672</v>
      </c>
      <c r="E463" s="41">
        <f t="shared" si="141"/>
        <v>15576.082166666689</v>
      </c>
      <c r="F463" s="140">
        <f t="shared" si="143"/>
        <v>-65000</v>
      </c>
      <c r="G463" s="47">
        <f t="shared" si="146"/>
        <v>-7584.9583333333267</v>
      </c>
      <c r="H463" s="52">
        <f t="shared" si="144"/>
        <v>15576.082166666689</v>
      </c>
      <c r="I463" s="192">
        <f t="shared" si="142"/>
        <v>-159.79166666666666</v>
      </c>
      <c r="J463" s="47">
        <f t="shared" si="147"/>
        <v>-47729.499999999898</v>
      </c>
      <c r="K463" s="47">
        <f t="shared" ref="K463:K480" si="149">+K462-I463</f>
        <v>-17270.499999999949</v>
      </c>
    </row>
    <row r="464" spans="1:11">
      <c r="A464" s="137">
        <v>42947</v>
      </c>
      <c r="B464" s="47">
        <v>-65000</v>
      </c>
      <c r="C464" s="47">
        <f t="shared" si="148"/>
        <v>7698.1666666666597</v>
      </c>
      <c r="D464" s="47">
        <f t="shared" si="145"/>
        <v>-57301.833333333343</v>
      </c>
      <c r="E464" s="41">
        <f t="shared" si="141"/>
        <v>15594.156500000023</v>
      </c>
      <c r="F464" s="140">
        <f t="shared" si="143"/>
        <v>-65000</v>
      </c>
      <c r="G464" s="47">
        <f t="shared" si="146"/>
        <v>-7698.1666666666597</v>
      </c>
      <c r="H464" s="52">
        <f t="shared" si="144"/>
        <v>15594.156500000023</v>
      </c>
      <c r="I464" s="192">
        <f t="shared" si="142"/>
        <v>-159.79166666666666</v>
      </c>
      <c r="J464" s="47">
        <f t="shared" si="147"/>
        <v>-47889.291666666562</v>
      </c>
      <c r="K464" s="47">
        <f t="shared" si="149"/>
        <v>-17110.708333333281</v>
      </c>
    </row>
    <row r="465" spans="1:11">
      <c r="A465" s="137">
        <v>42978</v>
      </c>
      <c r="B465" s="47">
        <v>-65000</v>
      </c>
      <c r="C465" s="47">
        <f t="shared" si="148"/>
        <v>7811.3749999999927</v>
      </c>
      <c r="D465" s="47">
        <f t="shared" si="145"/>
        <v>-57188.625000000007</v>
      </c>
      <c r="E465" s="41">
        <f t="shared" si="141"/>
        <v>15612.230833333357</v>
      </c>
      <c r="F465" s="140">
        <f t="shared" si="143"/>
        <v>-65000</v>
      </c>
      <c r="G465" s="47">
        <f t="shared" si="146"/>
        <v>-7811.3749999999927</v>
      </c>
      <c r="H465" s="52">
        <f t="shared" si="144"/>
        <v>15612.230833333357</v>
      </c>
      <c r="I465" s="192">
        <f t="shared" si="142"/>
        <v>-159.79166666666666</v>
      </c>
      <c r="J465" s="47">
        <f t="shared" si="147"/>
        <v>-48049.083333333227</v>
      </c>
      <c r="K465" s="47">
        <f t="shared" si="149"/>
        <v>-16950.916666666613</v>
      </c>
    </row>
    <row r="466" spans="1:11">
      <c r="A466" s="137">
        <v>43008</v>
      </c>
      <c r="B466" s="47">
        <v>-65000</v>
      </c>
      <c r="C466" s="47">
        <f t="shared" si="148"/>
        <v>7924.5833333333258</v>
      </c>
      <c r="D466" s="47">
        <f t="shared" si="145"/>
        <v>-57075.416666666672</v>
      </c>
      <c r="E466" s="41">
        <f t="shared" si="141"/>
        <v>15630.305166666692</v>
      </c>
      <c r="F466" s="140">
        <f t="shared" si="143"/>
        <v>-65000</v>
      </c>
      <c r="G466" s="47">
        <f t="shared" si="146"/>
        <v>-7924.5833333333258</v>
      </c>
      <c r="H466" s="52">
        <f t="shared" si="144"/>
        <v>15630.305166666692</v>
      </c>
      <c r="I466" s="192">
        <f t="shared" si="142"/>
        <v>-159.79166666666666</v>
      </c>
      <c r="J466" s="47">
        <f t="shared" si="147"/>
        <v>-48208.874999999891</v>
      </c>
      <c r="K466" s="47">
        <f t="shared" si="149"/>
        <v>-16791.124999999945</v>
      </c>
    </row>
    <row r="467" spans="1:11">
      <c r="A467" s="137">
        <v>43039</v>
      </c>
      <c r="B467" s="47">
        <v>-65000</v>
      </c>
      <c r="C467" s="47">
        <f t="shared" si="148"/>
        <v>8037.7916666666588</v>
      </c>
      <c r="D467" s="47">
        <f t="shared" si="145"/>
        <v>-56962.208333333343</v>
      </c>
      <c r="E467" s="41">
        <f t="shared" si="141"/>
        <v>15648.379500000026</v>
      </c>
      <c r="F467" s="140">
        <f t="shared" si="143"/>
        <v>-65000</v>
      </c>
      <c r="G467" s="47">
        <f t="shared" si="146"/>
        <v>-8037.7916666666588</v>
      </c>
      <c r="H467" s="52">
        <f t="shared" si="144"/>
        <v>15648.379500000026</v>
      </c>
      <c r="I467" s="192">
        <f t="shared" si="142"/>
        <v>-159.79166666666666</v>
      </c>
      <c r="J467" s="47">
        <f t="shared" si="147"/>
        <v>-48368.666666666555</v>
      </c>
      <c r="K467" s="47">
        <f t="shared" si="149"/>
        <v>-16631.333333333278</v>
      </c>
    </row>
    <row r="468" spans="1:11">
      <c r="A468" s="137">
        <v>43069</v>
      </c>
      <c r="B468" s="47">
        <v>-65000</v>
      </c>
      <c r="C468" s="47">
        <f t="shared" si="148"/>
        <v>8150.9999999999918</v>
      </c>
      <c r="D468" s="47">
        <f t="shared" si="145"/>
        <v>-56849.000000000007</v>
      </c>
      <c r="E468" s="41">
        <f t="shared" si="141"/>
        <v>15666.45383333336</v>
      </c>
      <c r="F468" s="140">
        <f t="shared" si="143"/>
        <v>-65000</v>
      </c>
      <c r="G468" s="47">
        <f t="shared" si="146"/>
        <v>-8150.9999999999918</v>
      </c>
      <c r="H468" s="52">
        <f t="shared" si="144"/>
        <v>15666.45383333336</v>
      </c>
      <c r="I468" s="192">
        <f t="shared" si="142"/>
        <v>-159.79166666666666</v>
      </c>
      <c r="J468" s="47">
        <f t="shared" si="147"/>
        <v>-48528.458333333219</v>
      </c>
      <c r="K468" s="47">
        <f t="shared" si="149"/>
        <v>-16471.54166666661</v>
      </c>
    </row>
    <row r="469" spans="1:11">
      <c r="A469" s="137">
        <v>43100</v>
      </c>
      <c r="B469" s="47">
        <v>-65000</v>
      </c>
      <c r="C469" s="47">
        <f t="shared" si="148"/>
        <v>8264.2083333333248</v>
      </c>
      <c r="D469" s="47">
        <f t="shared" si="145"/>
        <v>-56735.791666666672</v>
      </c>
      <c r="E469" s="41">
        <f t="shared" si="141"/>
        <v>15684.528166666692</v>
      </c>
      <c r="F469" s="140">
        <f t="shared" si="143"/>
        <v>-65000</v>
      </c>
      <c r="G469" s="47">
        <f t="shared" si="146"/>
        <v>-8264.2083333333248</v>
      </c>
      <c r="H469" s="52">
        <f t="shared" si="144"/>
        <v>15684.528166666692</v>
      </c>
      <c r="I469" s="192">
        <f t="shared" si="142"/>
        <v>-159.79166666666666</v>
      </c>
      <c r="J469" s="47">
        <f t="shared" si="147"/>
        <v>-48688.249999999884</v>
      </c>
      <c r="K469" s="47">
        <f t="shared" si="149"/>
        <v>-16311.749999999944</v>
      </c>
    </row>
    <row r="470" spans="1:11">
      <c r="A470" s="137">
        <v>43131</v>
      </c>
      <c r="B470" s="47">
        <v>-65000</v>
      </c>
      <c r="C470" s="47">
        <f t="shared" si="148"/>
        <v>8377.4166666666588</v>
      </c>
      <c r="D470" s="47">
        <f t="shared" si="145"/>
        <v>-56622.583333333343</v>
      </c>
      <c r="E470" s="41">
        <f t="shared" ref="E470:E529" si="150">(-D470+K470)*0.254</f>
        <v>10279.538750000016</v>
      </c>
      <c r="F470" s="140">
        <f t="shared" si="143"/>
        <v>-65000</v>
      </c>
      <c r="G470" s="47">
        <f t="shared" si="146"/>
        <v>-8377.4166666666588</v>
      </c>
      <c r="H470" s="52">
        <f t="shared" si="144"/>
        <v>10279.538750000016</v>
      </c>
      <c r="I470" s="505">
        <f t="shared" si="142"/>
        <v>-159.79166666666666</v>
      </c>
      <c r="J470" s="47">
        <f t="shared" si="147"/>
        <v>-48848.041666666548</v>
      </c>
      <c r="K470" s="47">
        <f t="shared" si="149"/>
        <v>-16151.958333333278</v>
      </c>
    </row>
    <row r="471" spans="1:11">
      <c r="A471" s="137">
        <v>43159</v>
      </c>
      <c r="B471" s="47">
        <v>-65000</v>
      </c>
      <c r="C471" s="47">
        <f t="shared" si="148"/>
        <v>8490.6249999999927</v>
      </c>
      <c r="D471" s="47">
        <f t="shared" si="145"/>
        <v>-56509.375000000007</v>
      </c>
      <c r="E471" s="41">
        <f t="shared" si="150"/>
        <v>10291.370916666683</v>
      </c>
      <c r="F471" s="140">
        <f t="shared" si="143"/>
        <v>-65000</v>
      </c>
      <c r="G471" s="47">
        <f t="shared" si="146"/>
        <v>-8490.6249999999927</v>
      </c>
      <c r="H471" s="52">
        <f t="shared" si="144"/>
        <v>10291.370916666683</v>
      </c>
      <c r="I471" s="505">
        <f t="shared" si="142"/>
        <v>-159.79166666666666</v>
      </c>
      <c r="J471" s="47">
        <f t="shared" si="147"/>
        <v>-49007.833333333212</v>
      </c>
      <c r="K471" s="47">
        <f t="shared" si="149"/>
        <v>-15992.166666666611</v>
      </c>
    </row>
    <row r="472" spans="1:11">
      <c r="A472" s="137">
        <v>43190</v>
      </c>
      <c r="B472" s="47">
        <v>-65000</v>
      </c>
      <c r="C472" s="47">
        <f t="shared" si="148"/>
        <v>8603.8333333333267</v>
      </c>
      <c r="D472" s="47">
        <f t="shared" si="145"/>
        <v>-56396.166666666672</v>
      </c>
      <c r="E472" s="41">
        <f t="shared" si="150"/>
        <v>10303.20308333335</v>
      </c>
      <c r="F472" s="140">
        <f t="shared" si="143"/>
        <v>-65000</v>
      </c>
      <c r="G472" s="47">
        <f t="shared" si="146"/>
        <v>-8603.8333333333267</v>
      </c>
      <c r="H472" s="52">
        <f t="shared" si="144"/>
        <v>10303.20308333335</v>
      </c>
      <c r="I472" s="505">
        <f t="shared" si="142"/>
        <v>-159.79166666666666</v>
      </c>
      <c r="J472" s="47">
        <f t="shared" si="147"/>
        <v>-49167.624999999876</v>
      </c>
      <c r="K472" s="47">
        <f t="shared" si="149"/>
        <v>-15832.374999999945</v>
      </c>
    </row>
    <row r="473" spans="1:11">
      <c r="A473" s="137">
        <v>43220</v>
      </c>
      <c r="B473" s="47">
        <v>-65000</v>
      </c>
      <c r="C473" s="47">
        <f t="shared" si="148"/>
        <v>8717.0416666666606</v>
      </c>
      <c r="D473" s="47">
        <f t="shared" si="145"/>
        <v>-56282.958333333343</v>
      </c>
      <c r="E473" s="41">
        <f t="shared" si="150"/>
        <v>10315.035250000017</v>
      </c>
      <c r="F473" s="140">
        <f t="shared" si="143"/>
        <v>-65000</v>
      </c>
      <c r="G473" s="47">
        <f t="shared" si="146"/>
        <v>-8717.0416666666606</v>
      </c>
      <c r="H473" s="52">
        <f t="shared" si="144"/>
        <v>10315.035250000017</v>
      </c>
      <c r="I473" s="505">
        <f t="shared" si="142"/>
        <v>-159.79166666666666</v>
      </c>
      <c r="J473" s="47">
        <f t="shared" si="147"/>
        <v>-49327.416666666541</v>
      </c>
      <c r="K473" s="47">
        <f t="shared" si="149"/>
        <v>-15672.583333333279</v>
      </c>
    </row>
    <row r="474" spans="1:11">
      <c r="A474" s="137">
        <v>43251</v>
      </c>
      <c r="B474" s="47">
        <v>-65000</v>
      </c>
      <c r="C474" s="47">
        <f t="shared" si="148"/>
        <v>8830.2499999999945</v>
      </c>
      <c r="D474" s="47">
        <f t="shared" si="145"/>
        <v>-56169.750000000007</v>
      </c>
      <c r="E474" s="41">
        <f t="shared" si="150"/>
        <v>10326.867416666682</v>
      </c>
      <c r="F474" s="140">
        <f t="shared" si="143"/>
        <v>-65000</v>
      </c>
      <c r="G474" s="47">
        <f t="shared" si="146"/>
        <v>-8830.2499999999945</v>
      </c>
      <c r="H474" s="52">
        <f t="shared" si="144"/>
        <v>10326.867416666682</v>
      </c>
      <c r="I474" s="505">
        <f t="shared" si="142"/>
        <v>-159.79166666666666</v>
      </c>
      <c r="J474" s="47">
        <f t="shared" si="147"/>
        <v>-49487.208333333205</v>
      </c>
      <c r="K474" s="47">
        <f t="shared" si="149"/>
        <v>-15512.791666666613</v>
      </c>
    </row>
    <row r="475" spans="1:11">
      <c r="A475" s="137">
        <v>43281</v>
      </c>
      <c r="B475" s="47">
        <v>-65000</v>
      </c>
      <c r="C475" s="47">
        <f t="shared" si="148"/>
        <v>8943.4583333333285</v>
      </c>
      <c r="D475" s="47">
        <f t="shared" si="145"/>
        <v>-56056.541666666672</v>
      </c>
      <c r="E475" s="41">
        <f t="shared" si="150"/>
        <v>10338.699583333348</v>
      </c>
      <c r="F475" s="140">
        <f t="shared" si="143"/>
        <v>-65000</v>
      </c>
      <c r="G475" s="47">
        <f t="shared" si="146"/>
        <v>-8943.4583333333285</v>
      </c>
      <c r="H475" s="52">
        <f t="shared" si="144"/>
        <v>10338.699583333348</v>
      </c>
      <c r="I475" s="505">
        <f t="shared" si="142"/>
        <v>-159.79166666666666</v>
      </c>
      <c r="J475" s="47">
        <f t="shared" si="147"/>
        <v>-49646.999999999869</v>
      </c>
      <c r="K475" s="47">
        <f t="shared" si="149"/>
        <v>-15352.999999999947</v>
      </c>
    </row>
    <row r="476" spans="1:11">
      <c r="A476" s="137">
        <v>43312</v>
      </c>
      <c r="B476" s="47">
        <v>-65000</v>
      </c>
      <c r="C476" s="47">
        <f t="shared" si="148"/>
        <v>9056.6666666666624</v>
      </c>
      <c r="D476" s="47">
        <f t="shared" si="145"/>
        <v>-55943.333333333336</v>
      </c>
      <c r="E476" s="41">
        <f t="shared" si="150"/>
        <v>10350.531750000015</v>
      </c>
      <c r="F476" s="140">
        <f t="shared" si="143"/>
        <v>-65000</v>
      </c>
      <c r="G476" s="47">
        <f t="shared" si="146"/>
        <v>-9056.6666666666624</v>
      </c>
      <c r="H476" s="52">
        <f t="shared" si="144"/>
        <v>10350.531750000015</v>
      </c>
      <c r="I476" s="505">
        <f t="shared" si="142"/>
        <v>-159.79166666666666</v>
      </c>
      <c r="J476" s="47">
        <f t="shared" si="147"/>
        <v>-49806.791666666533</v>
      </c>
      <c r="K476" s="47">
        <f t="shared" si="149"/>
        <v>-15193.208333333281</v>
      </c>
    </row>
    <row r="477" spans="1:11">
      <c r="A477" s="137">
        <v>43343</v>
      </c>
      <c r="B477" s="47">
        <v>-65000</v>
      </c>
      <c r="C477" s="47">
        <f t="shared" si="148"/>
        <v>9169.8749999999964</v>
      </c>
      <c r="D477" s="47">
        <f t="shared" si="145"/>
        <v>-55830.125</v>
      </c>
      <c r="E477" s="41">
        <f t="shared" si="150"/>
        <v>10362.36391666668</v>
      </c>
      <c r="F477" s="140">
        <f t="shared" si="143"/>
        <v>-65000</v>
      </c>
      <c r="G477" s="47">
        <f t="shared" si="146"/>
        <v>-9169.8749999999964</v>
      </c>
      <c r="H477" s="52">
        <f t="shared" si="144"/>
        <v>10362.36391666668</v>
      </c>
      <c r="I477" s="505">
        <f t="shared" si="142"/>
        <v>-159.79166666666666</v>
      </c>
      <c r="J477" s="47">
        <f t="shared" si="147"/>
        <v>-49966.583333333198</v>
      </c>
      <c r="K477" s="47">
        <f t="shared" si="149"/>
        <v>-15033.416666666615</v>
      </c>
    </row>
    <row r="478" spans="1:11">
      <c r="A478" s="137">
        <v>43373</v>
      </c>
      <c r="B478" s="47">
        <v>-65000</v>
      </c>
      <c r="C478" s="47">
        <f t="shared" si="148"/>
        <v>9283.0833333333303</v>
      </c>
      <c r="D478" s="47">
        <f t="shared" si="145"/>
        <v>-55716.916666666672</v>
      </c>
      <c r="E478" s="41">
        <f t="shared" si="150"/>
        <v>10374.196083333347</v>
      </c>
      <c r="F478" s="140">
        <f t="shared" si="143"/>
        <v>-65000</v>
      </c>
      <c r="G478" s="47">
        <f t="shared" si="146"/>
        <v>-9283.0833333333303</v>
      </c>
      <c r="H478" s="52">
        <f t="shared" si="144"/>
        <v>10374.196083333347</v>
      </c>
      <c r="I478" s="505">
        <f t="shared" si="142"/>
        <v>-159.79166666666666</v>
      </c>
      <c r="J478" s="47">
        <f t="shared" si="147"/>
        <v>-50126.374999999862</v>
      </c>
      <c r="K478" s="47">
        <f t="shared" si="149"/>
        <v>-14873.624999999949</v>
      </c>
    </row>
    <row r="479" spans="1:11">
      <c r="A479" s="137">
        <v>43404</v>
      </c>
      <c r="B479" s="47">
        <v>-65000</v>
      </c>
      <c r="C479" s="47">
        <f t="shared" si="148"/>
        <v>9396.2916666666642</v>
      </c>
      <c r="D479" s="47">
        <f t="shared" si="145"/>
        <v>-55603.708333333336</v>
      </c>
      <c r="E479" s="41">
        <f t="shared" si="150"/>
        <v>10386.028250000014</v>
      </c>
      <c r="F479" s="140">
        <f t="shared" si="143"/>
        <v>-65000</v>
      </c>
      <c r="G479" s="47">
        <f t="shared" si="146"/>
        <v>-9396.2916666666642</v>
      </c>
      <c r="H479" s="52">
        <f t="shared" si="144"/>
        <v>10386.028250000014</v>
      </c>
      <c r="I479" s="505">
        <f t="shared" si="142"/>
        <v>-159.79166666666666</v>
      </c>
      <c r="J479" s="47">
        <f t="shared" si="147"/>
        <v>-50286.166666666526</v>
      </c>
      <c r="K479" s="47">
        <f t="shared" si="149"/>
        <v>-14713.833333333283</v>
      </c>
    </row>
    <row r="480" spans="1:11">
      <c r="A480" s="137">
        <v>43434</v>
      </c>
      <c r="B480" s="47">
        <v>-65000</v>
      </c>
      <c r="C480" s="47">
        <f t="shared" si="148"/>
        <v>9509.4999999999982</v>
      </c>
      <c r="D480" s="47">
        <f t="shared" si="145"/>
        <v>-55490.5</v>
      </c>
      <c r="E480" s="41">
        <f t="shared" si="150"/>
        <v>10397.860416666681</v>
      </c>
      <c r="F480" s="140">
        <f t="shared" si="143"/>
        <v>-65000</v>
      </c>
      <c r="G480" s="47">
        <f t="shared" si="146"/>
        <v>-9509.4999999999982</v>
      </c>
      <c r="H480" s="52">
        <f t="shared" si="144"/>
        <v>10397.860416666681</v>
      </c>
      <c r="I480" s="505">
        <f t="shared" si="142"/>
        <v>-159.79166666666666</v>
      </c>
      <c r="J480" s="47">
        <f t="shared" si="147"/>
        <v>-50445.95833333319</v>
      </c>
      <c r="K480" s="47">
        <f t="shared" si="149"/>
        <v>-14554.041666666617</v>
      </c>
    </row>
    <row r="481" spans="1:11">
      <c r="A481" s="137">
        <v>43435</v>
      </c>
      <c r="B481" s="47">
        <v>-65000</v>
      </c>
      <c r="C481" s="47">
        <f>-B481*$C$5/12+C480</f>
        <v>9622.7083333333321</v>
      </c>
      <c r="D481" s="47">
        <f>+B481+C481</f>
        <v>-55377.291666666672</v>
      </c>
      <c r="E481" s="41">
        <f t="shared" si="150"/>
        <v>10409.692583333348</v>
      </c>
      <c r="F481" s="140">
        <f>B481</f>
        <v>-65000</v>
      </c>
      <c r="G481" s="47">
        <f>-C481</f>
        <v>-9622.7083333333321</v>
      </c>
      <c r="H481" s="52">
        <f>E481</f>
        <v>10409.692583333348</v>
      </c>
      <c r="I481" s="505">
        <f t="shared" si="142"/>
        <v>-159.79166666666666</v>
      </c>
      <c r="J481" s="47">
        <f>+I481+J480</f>
        <v>-50605.749999999854</v>
      </c>
      <c r="K481" s="47">
        <f>+K480-I481</f>
        <v>-14394.249999999951</v>
      </c>
    </row>
    <row r="482" spans="1:11">
      <c r="A482" s="137">
        <v>43466</v>
      </c>
      <c r="B482" s="47">
        <v>-65000</v>
      </c>
      <c r="C482" s="47">
        <f t="shared" ref="C482:C492" si="151">-B482*$C$5/12+C481</f>
        <v>9735.9166666666661</v>
      </c>
      <c r="D482" s="47">
        <f t="shared" ref="D482:D492" si="152">+B482+C482</f>
        <v>-55264.083333333336</v>
      </c>
      <c r="E482" s="41">
        <f t="shared" si="150"/>
        <v>10421.59354166668</v>
      </c>
      <c r="F482" s="140">
        <f t="shared" ref="F482:F529" si="153">B482</f>
        <v>-65000</v>
      </c>
      <c r="G482" s="47">
        <f t="shared" ref="G482:G529" si="154">-C482</f>
        <v>-9735.9166666666661</v>
      </c>
      <c r="H482" s="52">
        <f t="shared" ref="H482:H529" si="155">E482</f>
        <v>10421.59354166668</v>
      </c>
      <c r="I482" s="505">
        <f t="shared" ref="I482:I545" si="156">+$B$409*0.02955/12</f>
        <v>-160.0625</v>
      </c>
      <c r="J482" s="47">
        <f t="shared" ref="J482:J529" si="157">+I482+J481</f>
        <v>-50765.812499999854</v>
      </c>
      <c r="K482" s="47">
        <f t="shared" ref="K482:K529" si="158">+K481-I482</f>
        <v>-14234.187499999951</v>
      </c>
    </row>
    <row r="483" spans="1:11">
      <c r="A483" s="137">
        <v>43497</v>
      </c>
      <c r="B483" s="47">
        <v>-65000</v>
      </c>
      <c r="C483" s="47">
        <f t="shared" si="151"/>
        <v>9849.125</v>
      </c>
      <c r="D483" s="47">
        <f t="shared" si="152"/>
        <v>-55150.875</v>
      </c>
      <c r="E483" s="41">
        <f t="shared" si="150"/>
        <v>10433.494500000013</v>
      </c>
      <c r="F483" s="140">
        <f t="shared" si="153"/>
        <v>-65000</v>
      </c>
      <c r="G483" s="47">
        <f t="shared" si="154"/>
        <v>-9849.125</v>
      </c>
      <c r="H483" s="52">
        <f t="shared" si="155"/>
        <v>10433.494500000013</v>
      </c>
      <c r="I483" s="505">
        <f t="shared" si="156"/>
        <v>-160.0625</v>
      </c>
      <c r="J483" s="47">
        <f t="shared" si="157"/>
        <v>-50925.874999999854</v>
      </c>
      <c r="K483" s="47">
        <f t="shared" si="158"/>
        <v>-14074.124999999951</v>
      </c>
    </row>
    <row r="484" spans="1:11">
      <c r="A484" s="137">
        <v>43525</v>
      </c>
      <c r="B484" s="47">
        <v>-65000</v>
      </c>
      <c r="C484" s="47">
        <f t="shared" si="151"/>
        <v>9962.3333333333339</v>
      </c>
      <c r="D484" s="47">
        <f t="shared" si="152"/>
        <v>-55037.666666666664</v>
      </c>
      <c r="E484" s="41">
        <f t="shared" si="150"/>
        <v>10445.395458333345</v>
      </c>
      <c r="F484" s="140">
        <f t="shared" si="153"/>
        <v>-65000</v>
      </c>
      <c r="G484" s="47">
        <f t="shared" si="154"/>
        <v>-9962.3333333333339</v>
      </c>
      <c r="H484" s="52">
        <f t="shared" si="155"/>
        <v>10445.395458333345</v>
      </c>
      <c r="I484" s="505">
        <f t="shared" si="156"/>
        <v>-160.0625</v>
      </c>
      <c r="J484" s="47">
        <f t="shared" si="157"/>
        <v>-51085.937499999854</v>
      </c>
      <c r="K484" s="47">
        <f t="shared" si="158"/>
        <v>-13914.062499999951</v>
      </c>
    </row>
    <row r="485" spans="1:11">
      <c r="A485" s="137">
        <v>43556</v>
      </c>
      <c r="B485" s="47">
        <v>-65000</v>
      </c>
      <c r="C485" s="47">
        <f t="shared" si="151"/>
        <v>10075.541666666668</v>
      </c>
      <c r="D485" s="47">
        <f t="shared" si="152"/>
        <v>-54924.458333333328</v>
      </c>
      <c r="E485" s="41">
        <f t="shared" si="150"/>
        <v>10457.296416666679</v>
      </c>
      <c r="F485" s="140">
        <f t="shared" si="153"/>
        <v>-65000</v>
      </c>
      <c r="G485" s="47">
        <f t="shared" si="154"/>
        <v>-10075.541666666668</v>
      </c>
      <c r="H485" s="52">
        <f t="shared" si="155"/>
        <v>10457.296416666679</v>
      </c>
      <c r="I485" s="505">
        <f t="shared" si="156"/>
        <v>-160.0625</v>
      </c>
      <c r="J485" s="47">
        <f t="shared" si="157"/>
        <v>-51245.999999999854</v>
      </c>
      <c r="K485" s="47">
        <f t="shared" si="158"/>
        <v>-13753.999999999951</v>
      </c>
    </row>
    <row r="486" spans="1:11">
      <c r="A486" s="137">
        <v>43586</v>
      </c>
      <c r="B486" s="47">
        <v>-65000</v>
      </c>
      <c r="C486" s="47">
        <f t="shared" si="151"/>
        <v>10188.750000000002</v>
      </c>
      <c r="D486" s="47">
        <f t="shared" si="152"/>
        <v>-54811.25</v>
      </c>
      <c r="E486" s="41">
        <f t="shared" si="150"/>
        <v>10469.197375000012</v>
      </c>
      <c r="F486" s="140">
        <f t="shared" si="153"/>
        <v>-65000</v>
      </c>
      <c r="G486" s="47">
        <f t="shared" si="154"/>
        <v>-10188.750000000002</v>
      </c>
      <c r="H486" s="52">
        <f t="shared" si="155"/>
        <v>10469.197375000012</v>
      </c>
      <c r="I486" s="505">
        <f t="shared" si="156"/>
        <v>-160.0625</v>
      </c>
      <c r="J486" s="47">
        <f t="shared" si="157"/>
        <v>-51406.062499999854</v>
      </c>
      <c r="K486" s="47">
        <f t="shared" si="158"/>
        <v>-13593.937499999951</v>
      </c>
    </row>
    <row r="487" spans="1:11">
      <c r="A487" s="137">
        <v>43617</v>
      </c>
      <c r="B487" s="47">
        <v>-65000</v>
      </c>
      <c r="C487" s="47">
        <f t="shared" si="151"/>
        <v>10301.958333333336</v>
      </c>
      <c r="D487" s="47">
        <f t="shared" si="152"/>
        <v>-54698.041666666664</v>
      </c>
      <c r="E487" s="41">
        <f t="shared" si="150"/>
        <v>10481.098333333346</v>
      </c>
      <c r="F487" s="140">
        <f t="shared" si="153"/>
        <v>-65000</v>
      </c>
      <c r="G487" s="47">
        <f t="shared" si="154"/>
        <v>-10301.958333333336</v>
      </c>
      <c r="H487" s="52">
        <f t="shared" si="155"/>
        <v>10481.098333333346</v>
      </c>
      <c r="I487" s="505">
        <f t="shared" si="156"/>
        <v>-160.0625</v>
      </c>
      <c r="J487" s="47">
        <f t="shared" si="157"/>
        <v>-51566.124999999854</v>
      </c>
      <c r="K487" s="47">
        <f t="shared" si="158"/>
        <v>-13433.874999999951</v>
      </c>
    </row>
    <row r="488" spans="1:11">
      <c r="A488" s="137">
        <v>43647</v>
      </c>
      <c r="B488" s="47">
        <v>-65000</v>
      </c>
      <c r="C488" s="47">
        <f t="shared" si="151"/>
        <v>10415.16666666667</v>
      </c>
      <c r="D488" s="47">
        <f t="shared" si="152"/>
        <v>-54584.833333333328</v>
      </c>
      <c r="E488" s="41">
        <f t="shared" si="150"/>
        <v>10492.999291666678</v>
      </c>
      <c r="F488" s="140">
        <f t="shared" si="153"/>
        <v>-65000</v>
      </c>
      <c r="G488" s="47">
        <f t="shared" si="154"/>
        <v>-10415.16666666667</v>
      </c>
      <c r="H488" s="52">
        <f t="shared" si="155"/>
        <v>10492.999291666678</v>
      </c>
      <c r="I488" s="505">
        <f t="shared" si="156"/>
        <v>-160.0625</v>
      </c>
      <c r="J488" s="47">
        <f t="shared" si="157"/>
        <v>-51726.187499999854</v>
      </c>
      <c r="K488" s="47">
        <f t="shared" si="158"/>
        <v>-13273.812499999951</v>
      </c>
    </row>
    <row r="489" spans="1:11">
      <c r="A489" s="137">
        <v>43678</v>
      </c>
      <c r="B489" s="47">
        <v>-65000</v>
      </c>
      <c r="C489" s="47">
        <f t="shared" si="151"/>
        <v>10528.375000000004</v>
      </c>
      <c r="D489" s="47">
        <f t="shared" si="152"/>
        <v>-54471.625</v>
      </c>
      <c r="E489" s="41">
        <f t="shared" si="150"/>
        <v>10504.900250000013</v>
      </c>
      <c r="F489" s="140">
        <f t="shared" si="153"/>
        <v>-65000</v>
      </c>
      <c r="G489" s="47">
        <f t="shared" si="154"/>
        <v>-10528.375000000004</v>
      </c>
      <c r="H489" s="52">
        <f t="shared" si="155"/>
        <v>10504.900250000013</v>
      </c>
      <c r="I489" s="505">
        <f t="shared" si="156"/>
        <v>-160.0625</v>
      </c>
      <c r="J489" s="47">
        <f t="shared" si="157"/>
        <v>-51886.249999999854</v>
      </c>
      <c r="K489" s="47">
        <f t="shared" si="158"/>
        <v>-13113.749999999951</v>
      </c>
    </row>
    <row r="490" spans="1:11">
      <c r="A490" s="137">
        <v>43709</v>
      </c>
      <c r="B490" s="47">
        <v>-65000</v>
      </c>
      <c r="C490" s="47">
        <f t="shared" si="151"/>
        <v>10641.583333333338</v>
      </c>
      <c r="D490" s="47">
        <f t="shared" si="152"/>
        <v>-54358.416666666664</v>
      </c>
      <c r="E490" s="41">
        <f t="shared" si="150"/>
        <v>10516.801208333345</v>
      </c>
      <c r="F490" s="140">
        <f t="shared" si="153"/>
        <v>-65000</v>
      </c>
      <c r="G490" s="47">
        <f t="shared" si="154"/>
        <v>-10641.583333333338</v>
      </c>
      <c r="H490" s="52">
        <f t="shared" si="155"/>
        <v>10516.801208333345</v>
      </c>
      <c r="I490" s="505">
        <f t="shared" si="156"/>
        <v>-160.0625</v>
      </c>
      <c r="J490" s="47">
        <f t="shared" si="157"/>
        <v>-52046.312499999854</v>
      </c>
      <c r="K490" s="47">
        <f t="shared" si="158"/>
        <v>-12953.687499999951</v>
      </c>
    </row>
    <row r="491" spans="1:11">
      <c r="A491" s="137">
        <v>43739</v>
      </c>
      <c r="B491" s="47">
        <v>-65000</v>
      </c>
      <c r="C491" s="47">
        <f t="shared" si="151"/>
        <v>10754.791666666672</v>
      </c>
      <c r="D491" s="47">
        <f t="shared" si="152"/>
        <v>-54245.208333333328</v>
      </c>
      <c r="E491" s="41">
        <f t="shared" si="150"/>
        <v>10528.702166666679</v>
      </c>
      <c r="F491" s="140">
        <f t="shared" si="153"/>
        <v>-65000</v>
      </c>
      <c r="G491" s="47">
        <f t="shared" si="154"/>
        <v>-10754.791666666672</v>
      </c>
      <c r="H491" s="52">
        <f t="shared" si="155"/>
        <v>10528.702166666679</v>
      </c>
      <c r="I491" s="505">
        <f t="shared" si="156"/>
        <v>-160.0625</v>
      </c>
      <c r="J491" s="47">
        <f t="shared" si="157"/>
        <v>-52206.374999999854</v>
      </c>
      <c r="K491" s="47">
        <f t="shared" si="158"/>
        <v>-12793.624999999951</v>
      </c>
    </row>
    <row r="492" spans="1:11">
      <c r="A492" s="137">
        <v>43770</v>
      </c>
      <c r="B492" s="47">
        <v>-65000</v>
      </c>
      <c r="C492" s="47">
        <f t="shared" si="151"/>
        <v>10868.000000000005</v>
      </c>
      <c r="D492" s="47">
        <f t="shared" si="152"/>
        <v>-54131.999999999993</v>
      </c>
      <c r="E492" s="41">
        <f t="shared" si="150"/>
        <v>10540.603125000011</v>
      </c>
      <c r="F492" s="140">
        <f t="shared" si="153"/>
        <v>-65000</v>
      </c>
      <c r="G492" s="47">
        <f t="shared" si="154"/>
        <v>-10868.000000000005</v>
      </c>
      <c r="H492" s="52">
        <f t="shared" si="155"/>
        <v>10540.603125000011</v>
      </c>
      <c r="I492" s="505">
        <f t="shared" si="156"/>
        <v>-160.0625</v>
      </c>
      <c r="J492" s="47">
        <f t="shared" si="157"/>
        <v>-52366.437499999854</v>
      </c>
      <c r="K492" s="47">
        <f t="shared" si="158"/>
        <v>-12633.562499999951</v>
      </c>
    </row>
    <row r="493" spans="1:11">
      <c r="A493" s="137">
        <v>43800</v>
      </c>
      <c r="B493" s="47">
        <v>-65000</v>
      </c>
      <c r="C493" s="47">
        <f>-B493*$C$5/12+C492</f>
        <v>10981.208333333339</v>
      </c>
      <c r="D493" s="47">
        <f>+B493+C493</f>
        <v>-54018.791666666657</v>
      </c>
      <c r="E493" s="41">
        <f t="shared" si="150"/>
        <v>10552.504083333344</v>
      </c>
      <c r="F493" s="140">
        <f t="shared" si="153"/>
        <v>-65000</v>
      </c>
      <c r="G493" s="47">
        <f t="shared" si="154"/>
        <v>-10981.208333333339</v>
      </c>
      <c r="H493" s="52">
        <f t="shared" si="155"/>
        <v>10552.504083333344</v>
      </c>
      <c r="I493" s="505">
        <f t="shared" si="156"/>
        <v>-160.0625</v>
      </c>
      <c r="J493" s="47">
        <f t="shared" si="157"/>
        <v>-52526.499999999854</v>
      </c>
      <c r="K493" s="47">
        <f t="shared" si="158"/>
        <v>-12473.499999999951</v>
      </c>
    </row>
    <row r="494" spans="1:11">
      <c r="A494" s="137">
        <v>43831</v>
      </c>
      <c r="B494" s="47">
        <v>-65000</v>
      </c>
      <c r="C494" s="47">
        <f t="shared" ref="C494:C529" si="159">-B494*$C$5/12+C493</f>
        <v>11094.416666666673</v>
      </c>
      <c r="D494" s="47">
        <f t="shared" ref="D494:D529" si="160">+B494+C494</f>
        <v>-53905.583333333328</v>
      </c>
      <c r="E494" s="41">
        <f t="shared" si="150"/>
        <v>10564.405041666678</v>
      </c>
      <c r="F494" s="140">
        <f t="shared" si="153"/>
        <v>-65000</v>
      </c>
      <c r="G494" s="47">
        <f t="shared" si="154"/>
        <v>-11094.416666666673</v>
      </c>
      <c r="H494" s="52">
        <f t="shared" si="155"/>
        <v>10564.405041666678</v>
      </c>
      <c r="I494" s="505">
        <f t="shared" si="156"/>
        <v>-160.0625</v>
      </c>
      <c r="J494" s="47">
        <f t="shared" si="157"/>
        <v>-52686.562499999854</v>
      </c>
      <c r="K494" s="47">
        <f t="shared" si="158"/>
        <v>-12313.437499999951</v>
      </c>
    </row>
    <row r="495" spans="1:11">
      <c r="A495" s="137">
        <v>43862</v>
      </c>
      <c r="B495" s="47">
        <v>-65000</v>
      </c>
      <c r="C495" s="47">
        <f t="shared" si="159"/>
        <v>11207.625000000007</v>
      </c>
      <c r="D495" s="47">
        <f t="shared" si="160"/>
        <v>-53792.374999999993</v>
      </c>
      <c r="E495" s="41">
        <f t="shared" si="150"/>
        <v>10576.306000000011</v>
      </c>
      <c r="F495" s="140">
        <f t="shared" si="153"/>
        <v>-65000</v>
      </c>
      <c r="G495" s="47">
        <f t="shared" si="154"/>
        <v>-11207.625000000007</v>
      </c>
      <c r="H495" s="52">
        <f t="shared" si="155"/>
        <v>10576.306000000011</v>
      </c>
      <c r="I495" s="505">
        <f t="shared" si="156"/>
        <v>-160.0625</v>
      </c>
      <c r="J495" s="47">
        <f t="shared" si="157"/>
        <v>-52846.624999999854</v>
      </c>
      <c r="K495" s="47">
        <f t="shared" si="158"/>
        <v>-12153.374999999951</v>
      </c>
    </row>
    <row r="496" spans="1:11">
      <c r="A496" s="137">
        <v>43891</v>
      </c>
      <c r="B496" s="47">
        <v>-65000</v>
      </c>
      <c r="C496" s="47">
        <f t="shared" si="159"/>
        <v>11320.833333333341</v>
      </c>
      <c r="D496" s="47">
        <f t="shared" si="160"/>
        <v>-53679.166666666657</v>
      </c>
      <c r="E496" s="41">
        <f t="shared" si="150"/>
        <v>10588.206958333343</v>
      </c>
      <c r="F496" s="140">
        <f t="shared" si="153"/>
        <v>-65000</v>
      </c>
      <c r="G496" s="47">
        <f t="shared" si="154"/>
        <v>-11320.833333333341</v>
      </c>
      <c r="H496" s="52">
        <f t="shared" si="155"/>
        <v>10588.206958333343</v>
      </c>
      <c r="I496" s="505">
        <f t="shared" si="156"/>
        <v>-160.0625</v>
      </c>
      <c r="J496" s="47">
        <f t="shared" si="157"/>
        <v>-53006.687499999854</v>
      </c>
      <c r="K496" s="47">
        <f t="shared" si="158"/>
        <v>-11993.312499999951</v>
      </c>
    </row>
    <row r="497" spans="1:11">
      <c r="A497" s="137">
        <v>43922</v>
      </c>
      <c r="B497" s="47">
        <v>-65000</v>
      </c>
      <c r="C497" s="47">
        <f t="shared" si="159"/>
        <v>11434.041666666675</v>
      </c>
      <c r="D497" s="47">
        <f t="shared" si="160"/>
        <v>-53565.958333333328</v>
      </c>
      <c r="E497" s="41">
        <f t="shared" si="150"/>
        <v>10600.107916666679</v>
      </c>
      <c r="F497" s="140">
        <f t="shared" si="153"/>
        <v>-65000</v>
      </c>
      <c r="G497" s="47">
        <f t="shared" si="154"/>
        <v>-11434.041666666675</v>
      </c>
      <c r="H497" s="52">
        <f t="shared" si="155"/>
        <v>10600.107916666679</v>
      </c>
      <c r="I497" s="505">
        <f t="shared" si="156"/>
        <v>-160.0625</v>
      </c>
      <c r="J497" s="47">
        <f t="shared" si="157"/>
        <v>-53166.749999999854</v>
      </c>
      <c r="K497" s="47">
        <f t="shared" si="158"/>
        <v>-11833.249999999951</v>
      </c>
    </row>
    <row r="498" spans="1:11">
      <c r="A498" s="137">
        <v>43952</v>
      </c>
      <c r="B498" s="47">
        <v>-65000</v>
      </c>
      <c r="C498" s="47">
        <f t="shared" si="159"/>
        <v>11547.250000000009</v>
      </c>
      <c r="D498" s="47">
        <f t="shared" si="160"/>
        <v>-53452.749999999993</v>
      </c>
      <c r="E498" s="41">
        <f t="shared" si="150"/>
        <v>10612.00887500001</v>
      </c>
      <c r="F498" s="140">
        <f t="shared" si="153"/>
        <v>-65000</v>
      </c>
      <c r="G498" s="47">
        <f t="shared" si="154"/>
        <v>-11547.250000000009</v>
      </c>
      <c r="H498" s="52">
        <f t="shared" si="155"/>
        <v>10612.00887500001</v>
      </c>
      <c r="I498" s="505">
        <f t="shared" si="156"/>
        <v>-160.0625</v>
      </c>
      <c r="J498" s="47">
        <f t="shared" si="157"/>
        <v>-53326.812499999854</v>
      </c>
      <c r="K498" s="47">
        <f t="shared" si="158"/>
        <v>-11673.187499999951</v>
      </c>
    </row>
    <row r="499" spans="1:11">
      <c r="A499" s="137">
        <v>43983</v>
      </c>
      <c r="B499" s="47">
        <v>-65000</v>
      </c>
      <c r="C499" s="47">
        <f t="shared" si="159"/>
        <v>11660.458333333343</v>
      </c>
      <c r="D499" s="47">
        <f t="shared" si="160"/>
        <v>-53339.541666666657</v>
      </c>
      <c r="E499" s="41">
        <f t="shared" si="150"/>
        <v>10623.909833333344</v>
      </c>
      <c r="F499" s="140">
        <f t="shared" si="153"/>
        <v>-65000</v>
      </c>
      <c r="G499" s="47">
        <f t="shared" si="154"/>
        <v>-11660.458333333343</v>
      </c>
      <c r="H499" s="52">
        <f t="shared" si="155"/>
        <v>10623.909833333344</v>
      </c>
      <c r="I499" s="505">
        <f t="shared" si="156"/>
        <v>-160.0625</v>
      </c>
      <c r="J499" s="47">
        <f t="shared" si="157"/>
        <v>-53486.874999999854</v>
      </c>
      <c r="K499" s="47">
        <f t="shared" si="158"/>
        <v>-11513.124999999951</v>
      </c>
    </row>
    <row r="500" spans="1:11">
      <c r="A500" s="137">
        <v>44013</v>
      </c>
      <c r="B500" s="47">
        <v>-65000</v>
      </c>
      <c r="C500" s="47">
        <f t="shared" si="159"/>
        <v>11773.666666666677</v>
      </c>
      <c r="D500" s="47">
        <f t="shared" si="160"/>
        <v>-53226.333333333321</v>
      </c>
      <c r="E500" s="41">
        <f t="shared" si="150"/>
        <v>10635.810791666676</v>
      </c>
      <c r="F500" s="140">
        <f t="shared" si="153"/>
        <v>-65000</v>
      </c>
      <c r="G500" s="47">
        <f t="shared" si="154"/>
        <v>-11773.666666666677</v>
      </c>
      <c r="H500" s="52">
        <f t="shared" si="155"/>
        <v>10635.810791666676</v>
      </c>
      <c r="I500" s="505">
        <f t="shared" si="156"/>
        <v>-160.0625</v>
      </c>
      <c r="J500" s="47">
        <f t="shared" si="157"/>
        <v>-53646.937499999854</v>
      </c>
      <c r="K500" s="47">
        <f t="shared" si="158"/>
        <v>-11353.062499999951</v>
      </c>
    </row>
    <row r="501" spans="1:11">
      <c r="A501" s="137">
        <v>44044</v>
      </c>
      <c r="B501" s="47">
        <v>-65000</v>
      </c>
      <c r="C501" s="47">
        <f t="shared" si="159"/>
        <v>11886.875000000011</v>
      </c>
      <c r="D501" s="47">
        <f t="shared" si="160"/>
        <v>-53113.124999999985</v>
      </c>
      <c r="E501" s="41">
        <f t="shared" si="150"/>
        <v>10647.711750000009</v>
      </c>
      <c r="F501" s="140">
        <f t="shared" si="153"/>
        <v>-65000</v>
      </c>
      <c r="G501" s="47">
        <f t="shared" si="154"/>
        <v>-11886.875000000011</v>
      </c>
      <c r="H501" s="52">
        <f t="shared" si="155"/>
        <v>10647.711750000009</v>
      </c>
      <c r="I501" s="505">
        <f t="shared" si="156"/>
        <v>-160.0625</v>
      </c>
      <c r="J501" s="47">
        <f t="shared" si="157"/>
        <v>-53806.999999999854</v>
      </c>
      <c r="K501" s="47">
        <f t="shared" si="158"/>
        <v>-11192.999999999951</v>
      </c>
    </row>
    <row r="502" spans="1:11">
      <c r="A502" s="137">
        <v>44075</v>
      </c>
      <c r="B502" s="47">
        <v>-65000</v>
      </c>
      <c r="C502" s="47">
        <f t="shared" si="159"/>
        <v>12000.083333333345</v>
      </c>
      <c r="D502" s="47">
        <f t="shared" si="160"/>
        <v>-52999.916666666657</v>
      </c>
      <c r="E502" s="41">
        <f t="shared" si="150"/>
        <v>10659.612708333343</v>
      </c>
      <c r="F502" s="140">
        <f t="shared" si="153"/>
        <v>-65000</v>
      </c>
      <c r="G502" s="47">
        <f t="shared" si="154"/>
        <v>-12000.083333333345</v>
      </c>
      <c r="H502" s="52">
        <f t="shared" si="155"/>
        <v>10659.612708333343</v>
      </c>
      <c r="I502" s="505">
        <f t="shared" si="156"/>
        <v>-160.0625</v>
      </c>
      <c r="J502" s="47">
        <f t="shared" si="157"/>
        <v>-53967.062499999854</v>
      </c>
      <c r="K502" s="47">
        <f t="shared" si="158"/>
        <v>-11032.937499999951</v>
      </c>
    </row>
    <row r="503" spans="1:11">
      <c r="A503" s="137">
        <v>44105</v>
      </c>
      <c r="B503" s="47">
        <v>-65000</v>
      </c>
      <c r="C503" s="47">
        <f t="shared" si="159"/>
        <v>12113.291666666679</v>
      </c>
      <c r="D503" s="47">
        <f t="shared" si="160"/>
        <v>-52886.708333333321</v>
      </c>
      <c r="E503" s="41">
        <f t="shared" si="150"/>
        <v>10671.513666666677</v>
      </c>
      <c r="F503" s="140">
        <f t="shared" si="153"/>
        <v>-65000</v>
      </c>
      <c r="G503" s="47">
        <f t="shared" si="154"/>
        <v>-12113.291666666679</v>
      </c>
      <c r="H503" s="52">
        <f t="shared" si="155"/>
        <v>10671.513666666677</v>
      </c>
      <c r="I503" s="505">
        <f t="shared" si="156"/>
        <v>-160.0625</v>
      </c>
      <c r="J503" s="47">
        <f t="shared" si="157"/>
        <v>-54127.124999999854</v>
      </c>
      <c r="K503" s="47">
        <f t="shared" si="158"/>
        <v>-10872.874999999951</v>
      </c>
    </row>
    <row r="504" spans="1:11">
      <c r="A504" s="137">
        <v>44136</v>
      </c>
      <c r="B504" s="47">
        <v>-65000</v>
      </c>
      <c r="C504" s="47">
        <f t="shared" si="159"/>
        <v>12226.500000000013</v>
      </c>
      <c r="D504" s="47">
        <f t="shared" si="160"/>
        <v>-52773.499999999985</v>
      </c>
      <c r="E504" s="41">
        <f t="shared" si="150"/>
        <v>10683.414625000009</v>
      </c>
      <c r="F504" s="140">
        <f t="shared" si="153"/>
        <v>-65000</v>
      </c>
      <c r="G504" s="47">
        <f t="shared" si="154"/>
        <v>-12226.500000000013</v>
      </c>
      <c r="H504" s="52">
        <f t="shared" si="155"/>
        <v>10683.414625000009</v>
      </c>
      <c r="I504" s="505">
        <f t="shared" si="156"/>
        <v>-160.0625</v>
      </c>
      <c r="J504" s="47">
        <f t="shared" si="157"/>
        <v>-54287.187499999854</v>
      </c>
      <c r="K504" s="47">
        <f t="shared" si="158"/>
        <v>-10712.812499999951</v>
      </c>
    </row>
    <row r="505" spans="1:11">
      <c r="A505" s="137">
        <v>44166</v>
      </c>
      <c r="B505" s="47">
        <v>-65000</v>
      </c>
      <c r="C505" s="47">
        <f t="shared" si="159"/>
        <v>12339.708333333347</v>
      </c>
      <c r="D505" s="47">
        <f t="shared" si="160"/>
        <v>-52660.291666666657</v>
      </c>
      <c r="E505" s="41">
        <f t="shared" si="150"/>
        <v>10695.315583333344</v>
      </c>
      <c r="F505" s="140">
        <f t="shared" si="153"/>
        <v>-65000</v>
      </c>
      <c r="G505" s="47">
        <f t="shared" si="154"/>
        <v>-12339.708333333347</v>
      </c>
      <c r="H505" s="52">
        <f t="shared" si="155"/>
        <v>10695.315583333344</v>
      </c>
      <c r="I505" s="505">
        <f t="shared" si="156"/>
        <v>-160.0625</v>
      </c>
      <c r="J505" s="47">
        <f t="shared" si="157"/>
        <v>-54447.249999999854</v>
      </c>
      <c r="K505" s="47">
        <f t="shared" si="158"/>
        <v>-10552.749999999951</v>
      </c>
    </row>
    <row r="506" spans="1:11">
      <c r="A506" s="137">
        <v>44227</v>
      </c>
      <c r="B506" s="47">
        <v>-65000</v>
      </c>
      <c r="C506" s="47">
        <f t="shared" si="159"/>
        <v>12452.916666666681</v>
      </c>
      <c r="D506" s="47">
        <f t="shared" si="160"/>
        <v>-52547.083333333321</v>
      </c>
      <c r="E506" s="41">
        <f t="shared" si="150"/>
        <v>10707.216541666676</v>
      </c>
      <c r="F506" s="140">
        <f t="shared" si="153"/>
        <v>-65000</v>
      </c>
      <c r="G506" s="47">
        <f t="shared" si="154"/>
        <v>-12452.916666666681</v>
      </c>
      <c r="H506" s="52">
        <f t="shared" si="155"/>
        <v>10707.216541666676</v>
      </c>
      <c r="I506" s="505">
        <f t="shared" si="156"/>
        <v>-160.0625</v>
      </c>
      <c r="J506" s="47">
        <f t="shared" si="157"/>
        <v>-54607.312499999854</v>
      </c>
      <c r="K506" s="47">
        <f t="shared" si="158"/>
        <v>-10392.687499999951</v>
      </c>
    </row>
    <row r="507" spans="1:11">
      <c r="A507" s="137" t="s">
        <v>1669</v>
      </c>
      <c r="B507" s="47">
        <v>-65000</v>
      </c>
      <c r="C507" s="47">
        <f t="shared" si="159"/>
        <v>12566.125000000015</v>
      </c>
      <c r="D507" s="47">
        <f t="shared" si="160"/>
        <v>-52433.874999999985</v>
      </c>
      <c r="E507" s="41">
        <f t="shared" si="150"/>
        <v>10719.117500000009</v>
      </c>
      <c r="F507" s="140">
        <f t="shared" si="153"/>
        <v>-65000</v>
      </c>
      <c r="G507" s="47">
        <f t="shared" si="154"/>
        <v>-12566.125000000015</v>
      </c>
      <c r="H507" s="52">
        <f t="shared" si="155"/>
        <v>10719.117500000009</v>
      </c>
      <c r="I507" s="505">
        <f t="shared" si="156"/>
        <v>-160.0625</v>
      </c>
      <c r="J507" s="47">
        <f t="shared" si="157"/>
        <v>-54767.374999999854</v>
      </c>
      <c r="K507" s="47">
        <f t="shared" si="158"/>
        <v>-10232.624999999951</v>
      </c>
    </row>
    <row r="508" spans="1:11">
      <c r="A508" s="137">
        <v>44286</v>
      </c>
      <c r="B508" s="47">
        <v>-65000</v>
      </c>
      <c r="C508" s="47">
        <f t="shared" si="159"/>
        <v>12679.333333333348</v>
      </c>
      <c r="D508" s="47">
        <f t="shared" si="160"/>
        <v>-52320.66666666665</v>
      </c>
      <c r="E508" s="41">
        <f t="shared" si="150"/>
        <v>10731.018458333343</v>
      </c>
      <c r="F508" s="140">
        <f t="shared" si="153"/>
        <v>-65000</v>
      </c>
      <c r="G508" s="47">
        <f t="shared" si="154"/>
        <v>-12679.333333333348</v>
      </c>
      <c r="H508" s="52">
        <f t="shared" si="155"/>
        <v>10731.018458333343</v>
      </c>
      <c r="I508" s="505">
        <f t="shared" si="156"/>
        <v>-160.0625</v>
      </c>
      <c r="J508" s="47">
        <f t="shared" si="157"/>
        <v>-54927.437499999854</v>
      </c>
      <c r="K508" s="47">
        <f t="shared" si="158"/>
        <v>-10072.562499999951</v>
      </c>
    </row>
    <row r="509" spans="1:11">
      <c r="A509" s="137">
        <v>44316</v>
      </c>
      <c r="B509" s="47">
        <v>-65000</v>
      </c>
      <c r="C509" s="47">
        <f t="shared" si="159"/>
        <v>12792.541666666682</v>
      </c>
      <c r="D509" s="47">
        <f t="shared" si="160"/>
        <v>-52207.458333333314</v>
      </c>
      <c r="E509" s="41">
        <f t="shared" si="150"/>
        <v>10742.919416666675</v>
      </c>
      <c r="F509" s="140">
        <f t="shared" si="153"/>
        <v>-65000</v>
      </c>
      <c r="G509" s="47">
        <f t="shared" si="154"/>
        <v>-12792.541666666682</v>
      </c>
      <c r="H509" s="52">
        <f t="shared" si="155"/>
        <v>10742.919416666675</v>
      </c>
      <c r="I509" s="505">
        <f t="shared" si="156"/>
        <v>-160.0625</v>
      </c>
      <c r="J509" s="47">
        <f t="shared" si="157"/>
        <v>-55087.499999999854</v>
      </c>
      <c r="K509" s="47">
        <f t="shared" si="158"/>
        <v>-9912.4999999999509</v>
      </c>
    </row>
    <row r="510" spans="1:11">
      <c r="A510" s="137">
        <v>44347</v>
      </c>
      <c r="B510" s="47">
        <v>-65000</v>
      </c>
      <c r="C510" s="47">
        <f t="shared" si="159"/>
        <v>12905.750000000016</v>
      </c>
      <c r="D510" s="47">
        <f t="shared" si="160"/>
        <v>-52094.249999999985</v>
      </c>
      <c r="E510" s="41">
        <f t="shared" si="150"/>
        <v>10754.82037500001</v>
      </c>
      <c r="F510" s="140">
        <f t="shared" si="153"/>
        <v>-65000</v>
      </c>
      <c r="G510" s="47">
        <f t="shared" si="154"/>
        <v>-12905.750000000016</v>
      </c>
      <c r="H510" s="52">
        <f t="shared" si="155"/>
        <v>10754.82037500001</v>
      </c>
      <c r="I510" s="505">
        <f t="shared" si="156"/>
        <v>-160.0625</v>
      </c>
      <c r="J510" s="47">
        <f t="shared" si="157"/>
        <v>-55247.562499999854</v>
      </c>
      <c r="K510" s="47">
        <f t="shared" si="158"/>
        <v>-9752.4374999999509</v>
      </c>
    </row>
    <row r="511" spans="1:11">
      <c r="A511" s="137">
        <v>44377</v>
      </c>
      <c r="B511" s="47">
        <v>-65000</v>
      </c>
      <c r="C511" s="47">
        <f t="shared" si="159"/>
        <v>13018.95833333335</v>
      </c>
      <c r="D511" s="47">
        <f t="shared" si="160"/>
        <v>-51981.04166666665</v>
      </c>
      <c r="E511" s="41">
        <f t="shared" si="150"/>
        <v>10766.721333333342</v>
      </c>
      <c r="F511" s="140">
        <f t="shared" si="153"/>
        <v>-65000</v>
      </c>
      <c r="G511" s="47">
        <f t="shared" si="154"/>
        <v>-13018.95833333335</v>
      </c>
      <c r="H511" s="52">
        <f t="shared" si="155"/>
        <v>10766.721333333342</v>
      </c>
      <c r="I511" s="505">
        <f t="shared" si="156"/>
        <v>-160.0625</v>
      </c>
      <c r="J511" s="47">
        <f t="shared" si="157"/>
        <v>-55407.624999999854</v>
      </c>
      <c r="K511" s="47">
        <f t="shared" si="158"/>
        <v>-9592.3749999999509</v>
      </c>
    </row>
    <row r="512" spans="1:11">
      <c r="A512" s="137">
        <v>44408</v>
      </c>
      <c r="B512" s="47">
        <v>-65000</v>
      </c>
      <c r="C512" s="47">
        <f t="shared" si="159"/>
        <v>13132.166666666684</v>
      </c>
      <c r="D512" s="47">
        <f t="shared" si="160"/>
        <v>-51867.833333333314</v>
      </c>
      <c r="E512" s="41">
        <f t="shared" si="150"/>
        <v>10778.622291666676</v>
      </c>
      <c r="F512" s="140">
        <f t="shared" si="153"/>
        <v>-65000</v>
      </c>
      <c r="G512" s="47">
        <f t="shared" si="154"/>
        <v>-13132.166666666684</v>
      </c>
      <c r="H512" s="52">
        <f t="shared" si="155"/>
        <v>10778.622291666676</v>
      </c>
      <c r="I512" s="505">
        <f t="shared" si="156"/>
        <v>-160.0625</v>
      </c>
      <c r="J512" s="47">
        <f t="shared" si="157"/>
        <v>-55567.687499999854</v>
      </c>
      <c r="K512" s="47">
        <f t="shared" si="158"/>
        <v>-9432.3124999999509</v>
      </c>
    </row>
    <row r="513" spans="1:11">
      <c r="A513" s="137">
        <v>44439</v>
      </c>
      <c r="B513" s="47">
        <v>-65000</v>
      </c>
      <c r="C513" s="47">
        <f t="shared" si="159"/>
        <v>13245.375000000018</v>
      </c>
      <c r="D513" s="47">
        <f t="shared" si="160"/>
        <v>-51754.624999999985</v>
      </c>
      <c r="E513" s="41">
        <f t="shared" si="150"/>
        <v>10790.523250000009</v>
      </c>
      <c r="F513" s="140">
        <f t="shared" si="153"/>
        <v>-65000</v>
      </c>
      <c r="G513" s="47">
        <f t="shared" si="154"/>
        <v>-13245.375000000018</v>
      </c>
      <c r="H513" s="52">
        <f t="shared" si="155"/>
        <v>10790.523250000009</v>
      </c>
      <c r="I513" s="505">
        <f t="shared" si="156"/>
        <v>-160.0625</v>
      </c>
      <c r="J513" s="47">
        <f t="shared" si="157"/>
        <v>-55727.749999999854</v>
      </c>
      <c r="K513" s="47">
        <f t="shared" si="158"/>
        <v>-9272.2499999999509</v>
      </c>
    </row>
    <row r="514" spans="1:11">
      <c r="A514" s="137">
        <v>44469</v>
      </c>
      <c r="B514" s="47">
        <v>-65000</v>
      </c>
      <c r="C514" s="47">
        <f t="shared" si="159"/>
        <v>13358.583333333352</v>
      </c>
      <c r="D514" s="47">
        <f t="shared" si="160"/>
        <v>-51641.41666666665</v>
      </c>
      <c r="E514" s="41">
        <f t="shared" si="150"/>
        <v>10802.424208333343</v>
      </c>
      <c r="F514" s="140">
        <f t="shared" si="153"/>
        <v>-65000</v>
      </c>
      <c r="G514" s="47">
        <f t="shared" si="154"/>
        <v>-13358.583333333352</v>
      </c>
      <c r="H514" s="52">
        <f t="shared" si="155"/>
        <v>10802.424208333343</v>
      </c>
      <c r="I514" s="505">
        <f t="shared" si="156"/>
        <v>-160.0625</v>
      </c>
      <c r="J514" s="47">
        <f t="shared" si="157"/>
        <v>-55887.812499999854</v>
      </c>
      <c r="K514" s="47">
        <f t="shared" si="158"/>
        <v>-9112.1874999999509</v>
      </c>
    </row>
    <row r="515" spans="1:11">
      <c r="A515" s="137">
        <v>44500</v>
      </c>
      <c r="B515" s="47">
        <v>-65000</v>
      </c>
      <c r="C515" s="47">
        <f t="shared" si="159"/>
        <v>13471.791666666686</v>
      </c>
      <c r="D515" s="47">
        <f t="shared" si="160"/>
        <v>-51528.208333333314</v>
      </c>
      <c r="E515" s="41">
        <f t="shared" si="150"/>
        <v>10814.325166666675</v>
      </c>
      <c r="F515" s="140">
        <f t="shared" si="153"/>
        <v>-65000</v>
      </c>
      <c r="G515" s="47">
        <f t="shared" si="154"/>
        <v>-13471.791666666686</v>
      </c>
      <c r="H515" s="52">
        <f t="shared" si="155"/>
        <v>10814.325166666675</v>
      </c>
      <c r="I515" s="505">
        <f t="shared" si="156"/>
        <v>-160.0625</v>
      </c>
      <c r="J515" s="47">
        <f t="shared" si="157"/>
        <v>-56047.874999999854</v>
      </c>
      <c r="K515" s="47">
        <f t="shared" si="158"/>
        <v>-8952.1249999999509</v>
      </c>
    </row>
    <row r="516" spans="1:11">
      <c r="A516" s="137">
        <v>44530</v>
      </c>
      <c r="B516" s="47">
        <v>-65000</v>
      </c>
      <c r="C516" s="47">
        <f t="shared" si="159"/>
        <v>13585.00000000002</v>
      </c>
      <c r="D516" s="47">
        <f t="shared" si="160"/>
        <v>-51414.999999999978</v>
      </c>
      <c r="E516" s="41">
        <f t="shared" si="150"/>
        <v>10826.226125000008</v>
      </c>
      <c r="F516" s="140">
        <f t="shared" si="153"/>
        <v>-65000</v>
      </c>
      <c r="G516" s="47">
        <f t="shared" si="154"/>
        <v>-13585.00000000002</v>
      </c>
      <c r="H516" s="52">
        <f t="shared" si="155"/>
        <v>10826.226125000008</v>
      </c>
      <c r="I516" s="505">
        <f t="shared" si="156"/>
        <v>-160.0625</v>
      </c>
      <c r="J516" s="47">
        <f t="shared" si="157"/>
        <v>-56207.937499999854</v>
      </c>
      <c r="K516" s="47">
        <f t="shared" si="158"/>
        <v>-8792.0624999999509</v>
      </c>
    </row>
    <row r="517" spans="1:11">
      <c r="A517" s="137">
        <v>44561</v>
      </c>
      <c r="B517" s="47">
        <v>-65000</v>
      </c>
      <c r="C517" s="47">
        <f t="shared" si="159"/>
        <v>13698.208333333354</v>
      </c>
      <c r="D517" s="47">
        <f t="shared" si="160"/>
        <v>-51301.791666666642</v>
      </c>
      <c r="E517" s="41">
        <f t="shared" si="150"/>
        <v>10838.12708333334</v>
      </c>
      <c r="F517" s="140">
        <f t="shared" si="153"/>
        <v>-65000</v>
      </c>
      <c r="G517" s="47">
        <f t="shared" si="154"/>
        <v>-13698.208333333354</v>
      </c>
      <c r="H517" s="52">
        <f t="shared" si="155"/>
        <v>10838.12708333334</v>
      </c>
      <c r="I517" s="505">
        <f t="shared" si="156"/>
        <v>-160.0625</v>
      </c>
      <c r="J517" s="47">
        <f t="shared" si="157"/>
        <v>-56367.999999999854</v>
      </c>
      <c r="K517" s="47">
        <f t="shared" si="158"/>
        <v>-8631.9999999999509</v>
      </c>
    </row>
    <row r="518" spans="1:11">
      <c r="A518" s="137">
        <v>44592</v>
      </c>
      <c r="B518" s="47">
        <v>-65000</v>
      </c>
      <c r="C518" s="47">
        <f t="shared" si="159"/>
        <v>13811.416666666688</v>
      </c>
      <c r="D518" s="47">
        <f t="shared" si="160"/>
        <v>-51188.583333333314</v>
      </c>
      <c r="E518" s="41">
        <f t="shared" si="150"/>
        <v>10850.028041666676</v>
      </c>
      <c r="F518" s="140">
        <f t="shared" si="153"/>
        <v>-65000</v>
      </c>
      <c r="G518" s="47">
        <f t="shared" si="154"/>
        <v>-13811.416666666688</v>
      </c>
      <c r="H518" s="52">
        <f t="shared" si="155"/>
        <v>10850.028041666676</v>
      </c>
      <c r="I518" s="505">
        <f t="shared" si="156"/>
        <v>-160.0625</v>
      </c>
      <c r="J518" s="47">
        <f t="shared" si="157"/>
        <v>-56528.062499999854</v>
      </c>
      <c r="K518" s="47">
        <f t="shared" si="158"/>
        <v>-8471.9374999999509</v>
      </c>
    </row>
    <row r="519" spans="1:11">
      <c r="A519" s="137">
        <v>44620</v>
      </c>
      <c r="B519" s="47">
        <v>-65000</v>
      </c>
      <c r="C519" s="47">
        <f t="shared" si="159"/>
        <v>13924.625000000022</v>
      </c>
      <c r="D519" s="47">
        <f t="shared" si="160"/>
        <v>-51075.374999999978</v>
      </c>
      <c r="E519" s="41">
        <f t="shared" si="150"/>
        <v>10861.929000000007</v>
      </c>
      <c r="F519" s="140">
        <f t="shared" si="153"/>
        <v>-65000</v>
      </c>
      <c r="G519" s="47">
        <f t="shared" si="154"/>
        <v>-13924.625000000022</v>
      </c>
      <c r="H519" s="52">
        <f t="shared" si="155"/>
        <v>10861.929000000007</v>
      </c>
      <c r="I519" s="505">
        <f t="shared" si="156"/>
        <v>-160.0625</v>
      </c>
      <c r="J519" s="47">
        <f t="shared" si="157"/>
        <v>-56688.124999999854</v>
      </c>
      <c r="K519" s="47">
        <f t="shared" si="158"/>
        <v>-8311.8749999999509</v>
      </c>
    </row>
    <row r="520" spans="1:11">
      <c r="A520" s="137">
        <v>44651</v>
      </c>
      <c r="B520" s="47">
        <v>-65000</v>
      </c>
      <c r="C520" s="47">
        <f t="shared" si="159"/>
        <v>14037.833333333356</v>
      </c>
      <c r="D520" s="47">
        <f t="shared" si="160"/>
        <v>-50962.166666666642</v>
      </c>
      <c r="E520" s="41">
        <f t="shared" si="150"/>
        <v>10873.829958333341</v>
      </c>
      <c r="F520" s="140">
        <f t="shared" si="153"/>
        <v>-65000</v>
      </c>
      <c r="G520" s="47">
        <f t="shared" si="154"/>
        <v>-14037.833333333356</v>
      </c>
      <c r="H520" s="52">
        <f t="shared" si="155"/>
        <v>10873.829958333341</v>
      </c>
      <c r="I520" s="505">
        <f t="shared" si="156"/>
        <v>-160.0625</v>
      </c>
      <c r="J520" s="47">
        <f t="shared" si="157"/>
        <v>-56848.187499999854</v>
      </c>
      <c r="K520" s="47">
        <f t="shared" si="158"/>
        <v>-8151.8124999999509</v>
      </c>
    </row>
    <row r="521" spans="1:11">
      <c r="A521" s="137">
        <v>44681</v>
      </c>
      <c r="B521" s="47">
        <v>-65000</v>
      </c>
      <c r="C521" s="47">
        <f t="shared" si="159"/>
        <v>14151.04166666669</v>
      </c>
      <c r="D521" s="47">
        <f t="shared" si="160"/>
        <v>-50848.958333333314</v>
      </c>
      <c r="E521" s="41">
        <f t="shared" si="150"/>
        <v>10885.730916666675</v>
      </c>
      <c r="F521" s="140">
        <f t="shared" si="153"/>
        <v>-65000</v>
      </c>
      <c r="G521" s="47">
        <f t="shared" si="154"/>
        <v>-14151.04166666669</v>
      </c>
      <c r="H521" s="52">
        <f t="shared" si="155"/>
        <v>10885.730916666675</v>
      </c>
      <c r="I521" s="505">
        <f t="shared" si="156"/>
        <v>-160.0625</v>
      </c>
      <c r="J521" s="47">
        <f t="shared" si="157"/>
        <v>-57008.249999999854</v>
      </c>
      <c r="K521" s="47">
        <f t="shared" si="158"/>
        <v>-7991.7499999999509</v>
      </c>
    </row>
    <row r="522" spans="1:11">
      <c r="A522" s="137">
        <v>44712</v>
      </c>
      <c r="B522" s="47">
        <v>-65000</v>
      </c>
      <c r="C522" s="47">
        <f t="shared" si="159"/>
        <v>14264.250000000024</v>
      </c>
      <c r="D522" s="47">
        <f t="shared" si="160"/>
        <v>-50735.749999999978</v>
      </c>
      <c r="E522" s="41">
        <f t="shared" si="150"/>
        <v>10897.631875000008</v>
      </c>
      <c r="F522" s="140">
        <f t="shared" si="153"/>
        <v>-65000</v>
      </c>
      <c r="G522" s="47">
        <f t="shared" si="154"/>
        <v>-14264.250000000024</v>
      </c>
      <c r="H522" s="52">
        <f t="shared" si="155"/>
        <v>10897.631875000008</v>
      </c>
      <c r="I522" s="505">
        <f t="shared" si="156"/>
        <v>-160.0625</v>
      </c>
      <c r="J522" s="47">
        <f t="shared" si="157"/>
        <v>-57168.312499999854</v>
      </c>
      <c r="K522" s="47">
        <f t="shared" si="158"/>
        <v>-7831.6874999999509</v>
      </c>
    </row>
    <row r="523" spans="1:11">
      <c r="A523" s="137">
        <v>44742</v>
      </c>
      <c r="B523" s="47">
        <v>-65000</v>
      </c>
      <c r="C523" s="47">
        <f t="shared" si="159"/>
        <v>14377.458333333358</v>
      </c>
      <c r="D523" s="47">
        <f t="shared" si="160"/>
        <v>-50622.541666666642</v>
      </c>
      <c r="E523" s="41">
        <f t="shared" si="150"/>
        <v>10909.53283333334</v>
      </c>
      <c r="F523" s="140">
        <f t="shared" si="153"/>
        <v>-65000</v>
      </c>
      <c r="G523" s="47">
        <f t="shared" si="154"/>
        <v>-14377.458333333358</v>
      </c>
      <c r="H523" s="52">
        <f t="shared" si="155"/>
        <v>10909.53283333334</v>
      </c>
      <c r="I523" s="505">
        <f t="shared" si="156"/>
        <v>-160.0625</v>
      </c>
      <c r="J523" s="47">
        <f t="shared" si="157"/>
        <v>-57328.374999999854</v>
      </c>
      <c r="K523" s="47">
        <f t="shared" si="158"/>
        <v>-7671.6249999999509</v>
      </c>
    </row>
    <row r="524" spans="1:11">
      <c r="A524" s="137">
        <v>44773</v>
      </c>
      <c r="B524" s="47">
        <v>-65000</v>
      </c>
      <c r="C524" s="47">
        <f t="shared" si="159"/>
        <v>14490.666666666692</v>
      </c>
      <c r="D524" s="47">
        <f t="shared" si="160"/>
        <v>-50509.333333333307</v>
      </c>
      <c r="E524" s="41">
        <f t="shared" si="150"/>
        <v>10921.433791666674</v>
      </c>
      <c r="F524" s="140">
        <f t="shared" si="153"/>
        <v>-65000</v>
      </c>
      <c r="G524" s="47">
        <f t="shared" si="154"/>
        <v>-14490.666666666692</v>
      </c>
      <c r="H524" s="52">
        <f t="shared" si="155"/>
        <v>10921.433791666674</v>
      </c>
      <c r="I524" s="505">
        <f t="shared" si="156"/>
        <v>-160.0625</v>
      </c>
      <c r="J524" s="47">
        <f t="shared" si="157"/>
        <v>-57488.437499999854</v>
      </c>
      <c r="K524" s="47">
        <f t="shared" si="158"/>
        <v>-7511.5624999999509</v>
      </c>
    </row>
    <row r="525" spans="1:11">
      <c r="A525" s="137">
        <v>44804</v>
      </c>
      <c r="B525" s="47">
        <v>-65000</v>
      </c>
      <c r="C525" s="47">
        <f t="shared" si="159"/>
        <v>14603.875000000025</v>
      </c>
      <c r="D525" s="47">
        <f t="shared" si="160"/>
        <v>-50396.124999999971</v>
      </c>
      <c r="E525" s="41">
        <f t="shared" si="150"/>
        <v>10933.334750000005</v>
      </c>
      <c r="F525" s="140">
        <f t="shared" si="153"/>
        <v>-65000</v>
      </c>
      <c r="G525" s="47">
        <f t="shared" si="154"/>
        <v>-14603.875000000025</v>
      </c>
      <c r="H525" s="52">
        <f t="shared" si="155"/>
        <v>10933.334750000005</v>
      </c>
      <c r="I525" s="505">
        <f t="shared" si="156"/>
        <v>-160.0625</v>
      </c>
      <c r="J525" s="47">
        <f t="shared" si="157"/>
        <v>-57648.499999999854</v>
      </c>
      <c r="K525" s="47">
        <f t="shared" si="158"/>
        <v>-7351.4999999999509</v>
      </c>
    </row>
    <row r="526" spans="1:11">
      <c r="A526" s="137">
        <v>44834</v>
      </c>
      <c r="B526" s="47">
        <v>-65000</v>
      </c>
      <c r="C526" s="47">
        <f t="shared" si="159"/>
        <v>14717.083333333359</v>
      </c>
      <c r="D526" s="47">
        <f t="shared" si="160"/>
        <v>-50282.916666666642</v>
      </c>
      <c r="E526" s="41">
        <f t="shared" si="150"/>
        <v>10945.235708333341</v>
      </c>
      <c r="F526" s="140">
        <f t="shared" si="153"/>
        <v>-65000</v>
      </c>
      <c r="G526" s="47">
        <f t="shared" si="154"/>
        <v>-14717.083333333359</v>
      </c>
      <c r="H526" s="52">
        <f t="shared" si="155"/>
        <v>10945.235708333341</v>
      </c>
      <c r="I526" s="505">
        <f t="shared" si="156"/>
        <v>-160.0625</v>
      </c>
      <c r="J526" s="47">
        <f t="shared" si="157"/>
        <v>-57808.562499999854</v>
      </c>
      <c r="K526" s="47">
        <f t="shared" si="158"/>
        <v>-7191.4374999999509</v>
      </c>
    </row>
    <row r="527" spans="1:11">
      <c r="A527" s="137">
        <v>44865</v>
      </c>
      <c r="B527" s="47">
        <v>-65000</v>
      </c>
      <c r="C527" s="47">
        <f t="shared" si="159"/>
        <v>14830.291666666693</v>
      </c>
      <c r="D527" s="47">
        <f t="shared" si="160"/>
        <v>-50169.708333333307</v>
      </c>
      <c r="E527" s="41">
        <f t="shared" si="150"/>
        <v>10957.136666666673</v>
      </c>
      <c r="F527" s="140">
        <f t="shared" si="153"/>
        <v>-65000</v>
      </c>
      <c r="G527" s="47">
        <f t="shared" si="154"/>
        <v>-14830.291666666693</v>
      </c>
      <c r="H527" s="52">
        <f t="shared" si="155"/>
        <v>10957.136666666673</v>
      </c>
      <c r="I527" s="505">
        <f t="shared" si="156"/>
        <v>-160.0625</v>
      </c>
      <c r="J527" s="47">
        <f t="shared" si="157"/>
        <v>-57968.624999999854</v>
      </c>
      <c r="K527" s="47">
        <f t="shared" si="158"/>
        <v>-7031.3749999999509</v>
      </c>
    </row>
    <row r="528" spans="1:11">
      <c r="A528" s="137">
        <v>44895</v>
      </c>
      <c r="B528" s="47">
        <v>-65000</v>
      </c>
      <c r="C528" s="47">
        <f t="shared" si="159"/>
        <v>14943.500000000027</v>
      </c>
      <c r="D528" s="47">
        <f t="shared" si="160"/>
        <v>-50056.499999999971</v>
      </c>
      <c r="E528" s="41">
        <f t="shared" si="150"/>
        <v>10969.037625000006</v>
      </c>
      <c r="F528" s="140">
        <f t="shared" si="153"/>
        <v>-65000</v>
      </c>
      <c r="G528" s="47">
        <f t="shared" si="154"/>
        <v>-14943.500000000027</v>
      </c>
      <c r="H528" s="52">
        <f t="shared" si="155"/>
        <v>10969.037625000006</v>
      </c>
      <c r="I528" s="505">
        <f t="shared" si="156"/>
        <v>-160.0625</v>
      </c>
      <c r="J528" s="47">
        <f t="shared" si="157"/>
        <v>-58128.687499999854</v>
      </c>
      <c r="K528" s="47">
        <f t="shared" si="158"/>
        <v>-6871.3124999999509</v>
      </c>
    </row>
    <row r="529" spans="1:11">
      <c r="A529" s="137">
        <v>44926</v>
      </c>
      <c r="B529" s="47">
        <v>-65000</v>
      </c>
      <c r="C529" s="47">
        <f t="shared" si="159"/>
        <v>15056.708333333361</v>
      </c>
      <c r="D529" s="47">
        <f t="shared" si="160"/>
        <v>-49943.291666666642</v>
      </c>
      <c r="E529" s="41">
        <f t="shared" si="150"/>
        <v>10980.93858333334</v>
      </c>
      <c r="F529" s="140">
        <f t="shared" si="153"/>
        <v>-65000</v>
      </c>
      <c r="G529" s="47">
        <f t="shared" si="154"/>
        <v>-15056.708333333361</v>
      </c>
      <c r="H529" s="52">
        <f t="shared" si="155"/>
        <v>10980.93858333334</v>
      </c>
      <c r="I529" s="505">
        <f t="shared" si="156"/>
        <v>-160.0625</v>
      </c>
      <c r="J529" s="47">
        <f t="shared" si="157"/>
        <v>-58288.749999999854</v>
      </c>
      <c r="K529" s="47">
        <f t="shared" si="158"/>
        <v>-6711.2499999999509</v>
      </c>
    </row>
    <row r="530" spans="1:11">
      <c r="A530" s="137">
        <v>44957</v>
      </c>
      <c r="B530" s="47">
        <v>-65000</v>
      </c>
      <c r="C530" s="47">
        <f t="shared" ref="C530:C552" si="161">-B530*$C$5/12+C529</f>
        <v>15169.916666666695</v>
      </c>
      <c r="D530" s="47">
        <f t="shared" ref="D530:D552" si="162">+B530+C530</f>
        <v>-49830.083333333307</v>
      </c>
      <c r="E530" s="41">
        <f t="shared" ref="E530:E552" si="163">(-D530+K530)*0.254</f>
        <v>10992.839541666674</v>
      </c>
      <c r="F530" s="140">
        <f t="shared" ref="F530:F552" si="164">B530</f>
        <v>-65000</v>
      </c>
      <c r="G530" s="47">
        <f t="shared" ref="G530:G552" si="165">-C530</f>
        <v>-15169.916666666695</v>
      </c>
      <c r="H530" s="52">
        <f t="shared" ref="H530:H552" si="166">E530</f>
        <v>10992.839541666674</v>
      </c>
      <c r="I530" s="505">
        <f t="shared" si="156"/>
        <v>-160.0625</v>
      </c>
      <c r="J530" s="47">
        <f t="shared" ref="J530:J552" si="167">+I530+J529</f>
        <v>-58448.812499999854</v>
      </c>
      <c r="K530" s="47">
        <f t="shared" ref="K530:K552" si="168">+K529-I530</f>
        <v>-6551.1874999999509</v>
      </c>
    </row>
    <row r="531" spans="1:11">
      <c r="A531" s="137">
        <v>44985</v>
      </c>
      <c r="B531" s="47">
        <v>-65000</v>
      </c>
      <c r="C531" s="47">
        <f t="shared" si="161"/>
        <v>15283.125000000029</v>
      </c>
      <c r="D531" s="47">
        <f t="shared" si="162"/>
        <v>-49716.874999999971</v>
      </c>
      <c r="E531" s="41">
        <f t="shared" si="163"/>
        <v>11004.740500000005</v>
      </c>
      <c r="F531" s="140">
        <f t="shared" si="164"/>
        <v>-65000</v>
      </c>
      <c r="G531" s="47">
        <f t="shared" si="165"/>
        <v>-15283.125000000029</v>
      </c>
      <c r="H531" s="52">
        <f t="shared" si="166"/>
        <v>11004.740500000005</v>
      </c>
      <c r="I531" s="505">
        <f t="shared" si="156"/>
        <v>-160.0625</v>
      </c>
      <c r="J531" s="47">
        <f t="shared" si="167"/>
        <v>-58608.874999999854</v>
      </c>
      <c r="K531" s="47">
        <f t="shared" si="168"/>
        <v>-6391.1249999999509</v>
      </c>
    </row>
    <row r="532" spans="1:11">
      <c r="A532" s="137">
        <v>45016</v>
      </c>
      <c r="B532" s="47">
        <v>-65000</v>
      </c>
      <c r="C532" s="47">
        <f t="shared" si="161"/>
        <v>15396.333333333363</v>
      </c>
      <c r="D532" s="47">
        <f t="shared" si="162"/>
        <v>-49603.666666666635</v>
      </c>
      <c r="E532" s="41">
        <f t="shared" si="163"/>
        <v>11016.641458333339</v>
      </c>
      <c r="F532" s="140">
        <f t="shared" si="164"/>
        <v>-65000</v>
      </c>
      <c r="G532" s="47">
        <f t="shared" si="165"/>
        <v>-15396.333333333363</v>
      </c>
      <c r="H532" s="52">
        <f t="shared" si="166"/>
        <v>11016.641458333339</v>
      </c>
      <c r="I532" s="505">
        <f t="shared" si="156"/>
        <v>-160.0625</v>
      </c>
      <c r="J532" s="47">
        <f t="shared" si="167"/>
        <v>-58768.937499999854</v>
      </c>
      <c r="K532" s="47">
        <f t="shared" si="168"/>
        <v>-6231.0624999999509</v>
      </c>
    </row>
    <row r="533" spans="1:11">
      <c r="A533" s="137">
        <v>45046</v>
      </c>
      <c r="B533" s="47">
        <v>-65000</v>
      </c>
      <c r="C533" s="47">
        <f t="shared" si="161"/>
        <v>15509.541666666697</v>
      </c>
      <c r="D533" s="47">
        <f t="shared" si="162"/>
        <v>-49490.458333333299</v>
      </c>
      <c r="E533" s="41">
        <f t="shared" si="163"/>
        <v>11028.542416666671</v>
      </c>
      <c r="F533" s="140">
        <f t="shared" si="164"/>
        <v>-65000</v>
      </c>
      <c r="G533" s="47">
        <f t="shared" si="165"/>
        <v>-15509.541666666697</v>
      </c>
      <c r="H533" s="52">
        <f t="shared" si="166"/>
        <v>11028.542416666671</v>
      </c>
      <c r="I533" s="505">
        <f t="shared" si="156"/>
        <v>-160.0625</v>
      </c>
      <c r="J533" s="47">
        <f t="shared" si="167"/>
        <v>-58928.999999999854</v>
      </c>
      <c r="K533" s="47">
        <f t="shared" si="168"/>
        <v>-6070.9999999999509</v>
      </c>
    </row>
    <row r="534" spans="1:11">
      <c r="A534" s="137">
        <v>45077</v>
      </c>
      <c r="B534" s="47">
        <v>-65000</v>
      </c>
      <c r="C534" s="47">
        <f t="shared" si="161"/>
        <v>15622.750000000031</v>
      </c>
      <c r="D534" s="47">
        <f t="shared" si="162"/>
        <v>-49377.249999999971</v>
      </c>
      <c r="E534" s="41">
        <f t="shared" si="163"/>
        <v>11040.443375000006</v>
      </c>
      <c r="F534" s="140">
        <f t="shared" si="164"/>
        <v>-65000</v>
      </c>
      <c r="G534" s="47">
        <f t="shared" si="165"/>
        <v>-15622.750000000031</v>
      </c>
      <c r="H534" s="52">
        <f t="shared" si="166"/>
        <v>11040.443375000006</v>
      </c>
      <c r="I534" s="505">
        <f t="shared" si="156"/>
        <v>-160.0625</v>
      </c>
      <c r="J534" s="47">
        <f t="shared" si="167"/>
        <v>-59089.062499999854</v>
      </c>
      <c r="K534" s="47">
        <f t="shared" si="168"/>
        <v>-5910.9374999999509</v>
      </c>
    </row>
    <row r="535" spans="1:11">
      <c r="A535" s="137">
        <v>45107</v>
      </c>
      <c r="B535" s="47">
        <v>-65000</v>
      </c>
      <c r="C535" s="47">
        <f t="shared" si="161"/>
        <v>15735.958333333365</v>
      </c>
      <c r="D535" s="47">
        <f t="shared" si="162"/>
        <v>-49264.041666666635</v>
      </c>
      <c r="E535" s="41">
        <f t="shared" si="163"/>
        <v>11052.344333333338</v>
      </c>
      <c r="F535" s="140">
        <f t="shared" si="164"/>
        <v>-65000</v>
      </c>
      <c r="G535" s="47">
        <f t="shared" si="165"/>
        <v>-15735.958333333365</v>
      </c>
      <c r="H535" s="52">
        <f t="shared" si="166"/>
        <v>11052.344333333338</v>
      </c>
      <c r="I535" s="505">
        <f t="shared" si="156"/>
        <v>-160.0625</v>
      </c>
      <c r="J535" s="47">
        <f t="shared" si="167"/>
        <v>-59249.124999999854</v>
      </c>
      <c r="K535" s="47">
        <f t="shared" si="168"/>
        <v>-5750.8749999999509</v>
      </c>
    </row>
    <row r="536" spans="1:11">
      <c r="A536" s="137">
        <v>45138</v>
      </c>
      <c r="B536" s="47">
        <v>-65000</v>
      </c>
      <c r="C536" s="47">
        <f t="shared" si="161"/>
        <v>15849.166666666699</v>
      </c>
      <c r="D536" s="47">
        <f t="shared" si="162"/>
        <v>-49150.833333333299</v>
      </c>
      <c r="E536" s="41">
        <f t="shared" si="163"/>
        <v>11064.245291666672</v>
      </c>
      <c r="F536" s="140">
        <f t="shared" si="164"/>
        <v>-65000</v>
      </c>
      <c r="G536" s="47">
        <f t="shared" si="165"/>
        <v>-15849.166666666699</v>
      </c>
      <c r="H536" s="52">
        <f t="shared" si="166"/>
        <v>11064.245291666672</v>
      </c>
      <c r="I536" s="505">
        <f t="shared" si="156"/>
        <v>-160.0625</v>
      </c>
      <c r="J536" s="47">
        <f t="shared" si="167"/>
        <v>-59409.187499999854</v>
      </c>
      <c r="K536" s="47">
        <f t="shared" si="168"/>
        <v>-5590.8124999999509</v>
      </c>
    </row>
    <row r="537" spans="1:11">
      <c r="A537" s="137">
        <v>45169</v>
      </c>
      <c r="B537" s="47">
        <v>-65000</v>
      </c>
      <c r="C537" s="47">
        <f t="shared" si="161"/>
        <v>15962.375000000033</v>
      </c>
      <c r="D537" s="47">
        <f t="shared" si="162"/>
        <v>-49037.624999999971</v>
      </c>
      <c r="E537" s="41">
        <f t="shared" si="163"/>
        <v>11076.146250000005</v>
      </c>
      <c r="F537" s="140">
        <f t="shared" si="164"/>
        <v>-65000</v>
      </c>
      <c r="G537" s="47">
        <f t="shared" si="165"/>
        <v>-15962.375000000033</v>
      </c>
      <c r="H537" s="52">
        <f t="shared" si="166"/>
        <v>11076.146250000005</v>
      </c>
      <c r="I537" s="505">
        <f t="shared" si="156"/>
        <v>-160.0625</v>
      </c>
      <c r="J537" s="47">
        <f t="shared" si="167"/>
        <v>-59569.249999999854</v>
      </c>
      <c r="K537" s="47">
        <f t="shared" si="168"/>
        <v>-5430.7499999999509</v>
      </c>
    </row>
    <row r="538" spans="1:11">
      <c r="A538" s="137">
        <v>45199</v>
      </c>
      <c r="B538" s="47">
        <v>-65000</v>
      </c>
      <c r="C538" s="47">
        <f t="shared" si="161"/>
        <v>16075.583333333367</v>
      </c>
      <c r="D538" s="47">
        <f t="shared" si="162"/>
        <v>-48924.416666666635</v>
      </c>
      <c r="E538" s="41">
        <f t="shared" si="163"/>
        <v>11088.047208333339</v>
      </c>
      <c r="F538" s="140">
        <f t="shared" si="164"/>
        <v>-65000</v>
      </c>
      <c r="G538" s="47">
        <f t="shared" si="165"/>
        <v>-16075.583333333367</v>
      </c>
      <c r="H538" s="52">
        <f t="shared" si="166"/>
        <v>11088.047208333339</v>
      </c>
      <c r="I538" s="505">
        <f t="shared" si="156"/>
        <v>-160.0625</v>
      </c>
      <c r="J538" s="47">
        <f t="shared" si="167"/>
        <v>-59729.312499999854</v>
      </c>
      <c r="K538" s="47">
        <f t="shared" si="168"/>
        <v>-5270.6874999999509</v>
      </c>
    </row>
    <row r="539" spans="1:11">
      <c r="A539" s="137">
        <v>45230</v>
      </c>
      <c r="B539" s="47">
        <v>-65000</v>
      </c>
      <c r="C539" s="47">
        <f t="shared" si="161"/>
        <v>16188.791666666701</v>
      </c>
      <c r="D539" s="47">
        <f t="shared" si="162"/>
        <v>-48811.208333333299</v>
      </c>
      <c r="E539" s="41">
        <f t="shared" si="163"/>
        <v>11099.948166666671</v>
      </c>
      <c r="F539" s="140">
        <f t="shared" si="164"/>
        <v>-65000</v>
      </c>
      <c r="G539" s="47">
        <f t="shared" si="165"/>
        <v>-16188.791666666701</v>
      </c>
      <c r="H539" s="52">
        <f t="shared" si="166"/>
        <v>11099.948166666671</v>
      </c>
      <c r="I539" s="505">
        <f t="shared" si="156"/>
        <v>-160.0625</v>
      </c>
      <c r="J539" s="47">
        <f t="shared" si="167"/>
        <v>-59889.374999999854</v>
      </c>
      <c r="K539" s="47">
        <f t="shared" si="168"/>
        <v>-5110.6249999999509</v>
      </c>
    </row>
    <row r="540" spans="1:11">
      <c r="A540" s="137">
        <v>45260</v>
      </c>
      <c r="B540" s="47">
        <v>-65000</v>
      </c>
      <c r="C540" s="47">
        <f t="shared" si="161"/>
        <v>16302.000000000035</v>
      </c>
      <c r="D540" s="47">
        <f t="shared" si="162"/>
        <v>-48697.999999999964</v>
      </c>
      <c r="E540" s="41">
        <f t="shared" si="163"/>
        <v>11111.849125000004</v>
      </c>
      <c r="F540" s="140">
        <f t="shared" si="164"/>
        <v>-65000</v>
      </c>
      <c r="G540" s="47">
        <f t="shared" si="165"/>
        <v>-16302.000000000035</v>
      </c>
      <c r="H540" s="52">
        <f t="shared" si="166"/>
        <v>11111.849125000004</v>
      </c>
      <c r="I540" s="505">
        <f t="shared" si="156"/>
        <v>-160.0625</v>
      </c>
      <c r="J540" s="47">
        <f t="shared" si="167"/>
        <v>-60049.437499999854</v>
      </c>
      <c r="K540" s="47">
        <f t="shared" si="168"/>
        <v>-4950.5624999999509</v>
      </c>
    </row>
    <row r="541" spans="1:11">
      <c r="A541" s="137">
        <v>45291</v>
      </c>
      <c r="B541" s="47">
        <v>-65000</v>
      </c>
      <c r="C541" s="47">
        <f t="shared" si="161"/>
        <v>16415.208333333369</v>
      </c>
      <c r="D541" s="47">
        <f t="shared" si="162"/>
        <v>-48584.791666666628</v>
      </c>
      <c r="E541" s="41">
        <f t="shared" si="163"/>
        <v>11123.750083333336</v>
      </c>
      <c r="F541" s="140">
        <f t="shared" si="164"/>
        <v>-65000</v>
      </c>
      <c r="G541" s="47">
        <f t="shared" si="165"/>
        <v>-16415.208333333369</v>
      </c>
      <c r="H541" s="52">
        <f t="shared" si="166"/>
        <v>11123.750083333336</v>
      </c>
      <c r="I541" s="505">
        <f t="shared" si="156"/>
        <v>-160.0625</v>
      </c>
      <c r="J541" s="47">
        <f t="shared" si="167"/>
        <v>-60209.499999999854</v>
      </c>
      <c r="K541" s="47">
        <f t="shared" si="168"/>
        <v>-4790.4999999999509</v>
      </c>
    </row>
    <row r="542" spans="1:11">
      <c r="A542" s="137">
        <v>45322</v>
      </c>
      <c r="B542" s="47">
        <v>-65000</v>
      </c>
      <c r="C542" s="47">
        <f t="shared" si="161"/>
        <v>16528.416666666701</v>
      </c>
      <c r="D542" s="47">
        <f t="shared" si="162"/>
        <v>-48471.583333333299</v>
      </c>
      <c r="E542" s="41">
        <f t="shared" si="163"/>
        <v>11135.651041666672</v>
      </c>
      <c r="F542" s="140">
        <f t="shared" si="164"/>
        <v>-65000</v>
      </c>
      <c r="G542" s="47">
        <f t="shared" si="165"/>
        <v>-16528.416666666701</v>
      </c>
      <c r="H542" s="52">
        <f t="shared" si="166"/>
        <v>11135.651041666672</v>
      </c>
      <c r="I542" s="505">
        <f t="shared" si="156"/>
        <v>-160.0625</v>
      </c>
      <c r="J542" s="47">
        <f t="shared" si="167"/>
        <v>-60369.562499999854</v>
      </c>
      <c r="K542" s="47">
        <f t="shared" si="168"/>
        <v>-4630.4374999999509</v>
      </c>
    </row>
    <row r="543" spans="1:11">
      <c r="A543" s="137">
        <v>45351</v>
      </c>
      <c r="B543" s="47">
        <v>-65000</v>
      </c>
      <c r="C543" s="47">
        <f t="shared" si="161"/>
        <v>16641.625000000033</v>
      </c>
      <c r="D543" s="47">
        <f t="shared" si="162"/>
        <v>-48358.374999999971</v>
      </c>
      <c r="E543" s="41">
        <f t="shared" si="163"/>
        <v>11147.552000000005</v>
      </c>
      <c r="F543" s="140">
        <f t="shared" si="164"/>
        <v>-65000</v>
      </c>
      <c r="G543" s="47">
        <f t="shared" si="165"/>
        <v>-16641.625000000033</v>
      </c>
      <c r="H543" s="52">
        <f t="shared" si="166"/>
        <v>11147.552000000005</v>
      </c>
      <c r="I543" s="505">
        <f t="shared" si="156"/>
        <v>-160.0625</v>
      </c>
      <c r="J543" s="47">
        <f t="shared" si="167"/>
        <v>-60529.624999999854</v>
      </c>
      <c r="K543" s="47">
        <f t="shared" si="168"/>
        <v>-4470.3749999999509</v>
      </c>
    </row>
    <row r="544" spans="1:11">
      <c r="A544" s="137">
        <v>45382</v>
      </c>
      <c r="B544" s="47">
        <v>-65000</v>
      </c>
      <c r="C544" s="47">
        <f t="shared" si="161"/>
        <v>16754.833333333365</v>
      </c>
      <c r="D544" s="47">
        <f t="shared" si="162"/>
        <v>-48245.166666666635</v>
      </c>
      <c r="E544" s="41">
        <f t="shared" si="163"/>
        <v>11159.452958333339</v>
      </c>
      <c r="F544" s="140">
        <f t="shared" si="164"/>
        <v>-65000</v>
      </c>
      <c r="G544" s="47">
        <f t="shared" si="165"/>
        <v>-16754.833333333365</v>
      </c>
      <c r="H544" s="52">
        <f t="shared" si="166"/>
        <v>11159.452958333339</v>
      </c>
      <c r="I544" s="505">
        <f t="shared" si="156"/>
        <v>-160.0625</v>
      </c>
      <c r="J544" s="47">
        <f t="shared" si="167"/>
        <v>-60689.687499999854</v>
      </c>
      <c r="K544" s="47">
        <f t="shared" si="168"/>
        <v>-4310.3124999999509</v>
      </c>
    </row>
    <row r="545" spans="1:11">
      <c r="A545" s="137">
        <v>45412</v>
      </c>
      <c r="B545" s="47">
        <v>-65000</v>
      </c>
      <c r="C545" s="47">
        <f t="shared" si="161"/>
        <v>16868.041666666697</v>
      </c>
      <c r="D545" s="47">
        <f t="shared" si="162"/>
        <v>-48131.958333333299</v>
      </c>
      <c r="E545" s="41">
        <f t="shared" si="163"/>
        <v>11171.353916666671</v>
      </c>
      <c r="F545" s="140">
        <f t="shared" si="164"/>
        <v>-65000</v>
      </c>
      <c r="G545" s="47">
        <f t="shared" si="165"/>
        <v>-16868.041666666697</v>
      </c>
      <c r="H545" s="52">
        <f t="shared" si="166"/>
        <v>11171.353916666671</v>
      </c>
      <c r="I545" s="505">
        <f t="shared" si="156"/>
        <v>-160.0625</v>
      </c>
      <c r="J545" s="47">
        <f t="shared" si="167"/>
        <v>-60849.749999999854</v>
      </c>
      <c r="K545" s="47">
        <f t="shared" si="168"/>
        <v>-4150.2499999999509</v>
      </c>
    </row>
    <row r="546" spans="1:11">
      <c r="A546" s="137">
        <v>45443</v>
      </c>
      <c r="B546" s="47">
        <v>-65000</v>
      </c>
      <c r="C546" s="47">
        <f t="shared" si="161"/>
        <v>16981.250000000029</v>
      </c>
      <c r="D546" s="47">
        <f t="shared" si="162"/>
        <v>-48018.749999999971</v>
      </c>
      <c r="E546" s="41">
        <f t="shared" si="163"/>
        <v>11183.254875000006</v>
      </c>
      <c r="F546" s="140">
        <f t="shared" si="164"/>
        <v>-65000</v>
      </c>
      <c r="G546" s="47">
        <f t="shared" si="165"/>
        <v>-16981.250000000029</v>
      </c>
      <c r="H546" s="52">
        <f t="shared" si="166"/>
        <v>11183.254875000006</v>
      </c>
      <c r="I546" s="505">
        <f t="shared" ref="I546:I565" si="169">+$B$409*0.02955/12</f>
        <v>-160.0625</v>
      </c>
      <c r="J546" s="47">
        <f t="shared" si="167"/>
        <v>-61009.812499999854</v>
      </c>
      <c r="K546" s="47">
        <f t="shared" si="168"/>
        <v>-3990.1874999999509</v>
      </c>
    </row>
    <row r="547" spans="1:11">
      <c r="A547" s="137">
        <v>45473</v>
      </c>
      <c r="B547" s="47">
        <v>-65000</v>
      </c>
      <c r="C547" s="47">
        <f t="shared" si="161"/>
        <v>17094.458333333361</v>
      </c>
      <c r="D547" s="47">
        <f t="shared" si="162"/>
        <v>-47905.541666666642</v>
      </c>
      <c r="E547" s="41">
        <f t="shared" si="163"/>
        <v>11195.15583333334</v>
      </c>
      <c r="F547" s="140">
        <f t="shared" si="164"/>
        <v>-65000</v>
      </c>
      <c r="G547" s="47">
        <f t="shared" si="165"/>
        <v>-17094.458333333361</v>
      </c>
      <c r="H547" s="52">
        <f t="shared" si="166"/>
        <v>11195.15583333334</v>
      </c>
      <c r="I547" s="505">
        <f t="shared" si="169"/>
        <v>-160.0625</v>
      </c>
      <c r="J547" s="47">
        <f t="shared" si="167"/>
        <v>-61169.874999999854</v>
      </c>
      <c r="K547" s="47">
        <f t="shared" si="168"/>
        <v>-3830.1249999999509</v>
      </c>
    </row>
    <row r="548" spans="1:11">
      <c r="A548" s="137">
        <v>45504</v>
      </c>
      <c r="B548" s="47">
        <v>-65000</v>
      </c>
      <c r="C548" s="47">
        <f t="shared" si="161"/>
        <v>17207.666666666693</v>
      </c>
      <c r="D548" s="47">
        <f t="shared" si="162"/>
        <v>-47792.333333333307</v>
      </c>
      <c r="E548" s="41">
        <f t="shared" si="163"/>
        <v>11207.056791666673</v>
      </c>
      <c r="F548" s="140">
        <f t="shared" si="164"/>
        <v>-65000</v>
      </c>
      <c r="G548" s="47">
        <f t="shared" si="165"/>
        <v>-17207.666666666693</v>
      </c>
      <c r="H548" s="52">
        <f t="shared" si="166"/>
        <v>11207.056791666673</v>
      </c>
      <c r="I548" s="505">
        <f t="shared" si="169"/>
        <v>-160.0625</v>
      </c>
      <c r="J548" s="47">
        <f t="shared" si="167"/>
        <v>-61329.937499999854</v>
      </c>
      <c r="K548" s="47">
        <f t="shared" si="168"/>
        <v>-3670.0624999999509</v>
      </c>
    </row>
    <row r="549" spans="1:11">
      <c r="A549" s="137">
        <v>45535</v>
      </c>
      <c r="B549" s="47">
        <v>-65000</v>
      </c>
      <c r="C549" s="47">
        <f t="shared" si="161"/>
        <v>17320.875000000025</v>
      </c>
      <c r="D549" s="47">
        <f t="shared" si="162"/>
        <v>-47679.124999999971</v>
      </c>
      <c r="E549" s="41">
        <f t="shared" si="163"/>
        <v>11218.957750000005</v>
      </c>
      <c r="F549" s="140">
        <f t="shared" si="164"/>
        <v>-65000</v>
      </c>
      <c r="G549" s="47">
        <f t="shared" si="165"/>
        <v>-17320.875000000025</v>
      </c>
      <c r="H549" s="52">
        <f t="shared" si="166"/>
        <v>11218.957750000005</v>
      </c>
      <c r="I549" s="505">
        <f t="shared" si="169"/>
        <v>-160.0625</v>
      </c>
      <c r="J549" s="47">
        <f t="shared" si="167"/>
        <v>-61489.999999999854</v>
      </c>
      <c r="K549" s="47">
        <f t="shared" si="168"/>
        <v>-3509.9999999999509</v>
      </c>
    </row>
    <row r="550" spans="1:11">
      <c r="A550" s="137">
        <v>45565</v>
      </c>
      <c r="B550" s="47">
        <v>-65000</v>
      </c>
      <c r="C550" s="47">
        <f t="shared" si="161"/>
        <v>17434.083333333358</v>
      </c>
      <c r="D550" s="47">
        <f t="shared" si="162"/>
        <v>-47565.916666666642</v>
      </c>
      <c r="E550" s="41">
        <f t="shared" si="163"/>
        <v>11230.85870833334</v>
      </c>
      <c r="F550" s="140">
        <f t="shared" si="164"/>
        <v>-65000</v>
      </c>
      <c r="G550" s="47">
        <f t="shared" si="165"/>
        <v>-17434.083333333358</v>
      </c>
      <c r="H550" s="52">
        <f t="shared" si="166"/>
        <v>11230.85870833334</v>
      </c>
      <c r="I550" s="505">
        <f t="shared" si="169"/>
        <v>-160.0625</v>
      </c>
      <c r="J550" s="47">
        <f t="shared" si="167"/>
        <v>-61650.062499999854</v>
      </c>
      <c r="K550" s="47">
        <f t="shared" si="168"/>
        <v>-3349.9374999999509</v>
      </c>
    </row>
    <row r="551" spans="1:11">
      <c r="A551" s="137">
        <v>45596</v>
      </c>
      <c r="B551" s="47">
        <v>-65000</v>
      </c>
      <c r="C551" s="47">
        <f t="shared" si="161"/>
        <v>17547.29166666669</v>
      </c>
      <c r="D551" s="47">
        <f t="shared" si="162"/>
        <v>-47452.708333333314</v>
      </c>
      <c r="E551" s="41">
        <f t="shared" si="163"/>
        <v>11242.759666666674</v>
      </c>
      <c r="F551" s="140">
        <f t="shared" si="164"/>
        <v>-65000</v>
      </c>
      <c r="G551" s="47">
        <f t="shared" si="165"/>
        <v>-17547.29166666669</v>
      </c>
      <c r="H551" s="52">
        <f t="shared" si="166"/>
        <v>11242.759666666674</v>
      </c>
      <c r="I551" s="505">
        <f t="shared" si="169"/>
        <v>-160.0625</v>
      </c>
      <c r="J551" s="47">
        <f t="shared" si="167"/>
        <v>-61810.124999999854</v>
      </c>
      <c r="K551" s="47">
        <f t="shared" si="168"/>
        <v>-3189.8749999999509</v>
      </c>
    </row>
    <row r="552" spans="1:11">
      <c r="A552" s="137">
        <v>45626</v>
      </c>
      <c r="B552" s="47">
        <v>-65000</v>
      </c>
      <c r="C552" s="47">
        <f t="shared" si="161"/>
        <v>17660.500000000022</v>
      </c>
      <c r="D552" s="47">
        <f t="shared" si="162"/>
        <v>-47339.499999999978</v>
      </c>
      <c r="E552" s="41">
        <f t="shared" si="163"/>
        <v>11254.660625000008</v>
      </c>
      <c r="F552" s="140">
        <f t="shared" si="164"/>
        <v>-65000</v>
      </c>
      <c r="G552" s="47">
        <f t="shared" si="165"/>
        <v>-17660.500000000022</v>
      </c>
      <c r="H552" s="52">
        <f t="shared" si="166"/>
        <v>11254.660625000008</v>
      </c>
      <c r="I552" s="505">
        <f t="shared" si="169"/>
        <v>-160.0625</v>
      </c>
      <c r="J552" s="47">
        <f t="shared" si="167"/>
        <v>-61970.187499999854</v>
      </c>
      <c r="K552" s="47">
        <f t="shared" si="168"/>
        <v>-3029.8124999999509</v>
      </c>
    </row>
    <row r="553" spans="1:11">
      <c r="A553" s="137">
        <v>45657</v>
      </c>
      <c r="B553" s="47">
        <v>-65000</v>
      </c>
      <c r="C553" s="47">
        <f>-B553*$C$5/12+C552</f>
        <v>17773.708333333354</v>
      </c>
      <c r="D553" s="47">
        <f>+B553+C553</f>
        <v>-47226.291666666642</v>
      </c>
      <c r="E553" s="41">
        <f>(-D553+K553)*0.254</f>
        <v>11266.56158333334</v>
      </c>
      <c r="F553" s="140">
        <f>B553</f>
        <v>-65000</v>
      </c>
      <c r="G553" s="47">
        <f>-C553</f>
        <v>-17773.708333333354</v>
      </c>
      <c r="H553" s="52">
        <f>E553</f>
        <v>11266.56158333334</v>
      </c>
      <c r="I553" s="505">
        <f t="shared" si="169"/>
        <v>-160.0625</v>
      </c>
      <c r="J553" s="47">
        <f>+I553+J552</f>
        <v>-62130.249999999854</v>
      </c>
      <c r="K553" s="47">
        <f>+K552-I553</f>
        <v>-2869.7499999999509</v>
      </c>
    </row>
    <row r="554" spans="1:11">
      <c r="A554" s="137">
        <v>45688</v>
      </c>
      <c r="B554" s="47">
        <v>-65000</v>
      </c>
      <c r="C554" s="47">
        <f t="shared" ref="C554:C564" si="170">-B554*$C$5/12+C553</f>
        <v>17886.916666666686</v>
      </c>
      <c r="D554" s="47">
        <f t="shared" ref="D554:D564" si="171">+B554+C554</f>
        <v>-47113.083333333314</v>
      </c>
      <c r="E554" s="41">
        <f t="shared" ref="E554:E564" si="172">(-D554+K554)*0.254</f>
        <v>11278.462541666675</v>
      </c>
      <c r="F554" s="140">
        <f t="shared" ref="F554:F564" si="173">B554</f>
        <v>-65000</v>
      </c>
      <c r="G554" s="47">
        <f t="shared" ref="G554:G564" si="174">-C554</f>
        <v>-17886.916666666686</v>
      </c>
      <c r="H554" s="52">
        <f t="shared" ref="H554:H564" si="175">E554</f>
        <v>11278.462541666675</v>
      </c>
      <c r="I554" s="505">
        <f t="shared" si="169"/>
        <v>-160.0625</v>
      </c>
      <c r="J554" s="47">
        <f t="shared" ref="J554:J564" si="176">+I554+J553</f>
        <v>-62290.312499999854</v>
      </c>
      <c r="K554" s="47">
        <f t="shared" ref="K554:K564" si="177">+K553-I554</f>
        <v>-2709.6874999999509</v>
      </c>
    </row>
    <row r="555" spans="1:11">
      <c r="A555" s="137">
        <v>45716</v>
      </c>
      <c r="B555" s="47">
        <v>-65000</v>
      </c>
      <c r="C555" s="47">
        <f t="shared" si="170"/>
        <v>18000.125000000018</v>
      </c>
      <c r="D555" s="47">
        <f t="shared" si="171"/>
        <v>-46999.874999999985</v>
      </c>
      <c r="E555" s="41">
        <f t="shared" si="172"/>
        <v>11290.363500000009</v>
      </c>
      <c r="F555" s="140">
        <f t="shared" si="173"/>
        <v>-65000</v>
      </c>
      <c r="G555" s="47">
        <f t="shared" si="174"/>
        <v>-18000.125000000018</v>
      </c>
      <c r="H555" s="52">
        <f t="shared" si="175"/>
        <v>11290.363500000009</v>
      </c>
      <c r="I555" s="505">
        <f t="shared" si="169"/>
        <v>-160.0625</v>
      </c>
      <c r="J555" s="47">
        <f t="shared" si="176"/>
        <v>-62450.374999999854</v>
      </c>
      <c r="K555" s="47">
        <f t="shared" si="177"/>
        <v>-2549.6249999999509</v>
      </c>
    </row>
    <row r="556" spans="1:11">
      <c r="A556" s="137">
        <v>45747</v>
      </c>
      <c r="B556" s="47">
        <v>-65000</v>
      </c>
      <c r="C556" s="47">
        <f t="shared" si="170"/>
        <v>18113.33333333335</v>
      </c>
      <c r="D556" s="47">
        <f t="shared" si="171"/>
        <v>-46886.66666666665</v>
      </c>
      <c r="E556" s="41">
        <f t="shared" si="172"/>
        <v>11302.264458333342</v>
      </c>
      <c r="F556" s="140">
        <f t="shared" si="173"/>
        <v>-65000</v>
      </c>
      <c r="G556" s="47">
        <f t="shared" si="174"/>
        <v>-18113.33333333335</v>
      </c>
      <c r="H556" s="52">
        <f t="shared" si="175"/>
        <v>11302.264458333342</v>
      </c>
      <c r="I556" s="505">
        <f t="shared" si="169"/>
        <v>-160.0625</v>
      </c>
      <c r="J556" s="47">
        <f t="shared" si="176"/>
        <v>-62610.437499999854</v>
      </c>
      <c r="K556" s="47">
        <f t="shared" si="177"/>
        <v>-2389.5624999999509</v>
      </c>
    </row>
    <row r="557" spans="1:11">
      <c r="A557" s="137">
        <v>45777</v>
      </c>
      <c r="B557" s="47">
        <v>-65000</v>
      </c>
      <c r="C557" s="47">
        <f t="shared" si="170"/>
        <v>18226.541666666682</v>
      </c>
      <c r="D557" s="47">
        <f t="shared" si="171"/>
        <v>-46773.458333333314</v>
      </c>
      <c r="E557" s="41">
        <f t="shared" si="172"/>
        <v>11314.165416666674</v>
      </c>
      <c r="F557" s="140">
        <f t="shared" si="173"/>
        <v>-65000</v>
      </c>
      <c r="G557" s="47">
        <f t="shared" si="174"/>
        <v>-18226.541666666682</v>
      </c>
      <c r="H557" s="52">
        <f t="shared" si="175"/>
        <v>11314.165416666674</v>
      </c>
      <c r="I557" s="505">
        <f t="shared" si="169"/>
        <v>-160.0625</v>
      </c>
      <c r="J557" s="47">
        <f t="shared" si="176"/>
        <v>-62770.499999999854</v>
      </c>
      <c r="K557" s="47">
        <f t="shared" si="177"/>
        <v>-2229.4999999999509</v>
      </c>
    </row>
    <row r="558" spans="1:11">
      <c r="A558" s="137">
        <v>45808</v>
      </c>
      <c r="B558" s="47">
        <v>-65000</v>
      </c>
      <c r="C558" s="47">
        <f t="shared" si="170"/>
        <v>18339.750000000015</v>
      </c>
      <c r="D558" s="47">
        <f t="shared" si="171"/>
        <v>-46660.249999999985</v>
      </c>
      <c r="E558" s="41">
        <f t="shared" si="172"/>
        <v>11326.066375000009</v>
      </c>
      <c r="F558" s="140">
        <f t="shared" si="173"/>
        <v>-65000</v>
      </c>
      <c r="G558" s="47">
        <f t="shared" si="174"/>
        <v>-18339.750000000015</v>
      </c>
      <c r="H558" s="52">
        <f t="shared" si="175"/>
        <v>11326.066375000009</v>
      </c>
      <c r="I558" s="505">
        <f t="shared" si="169"/>
        <v>-160.0625</v>
      </c>
      <c r="J558" s="47">
        <f t="shared" si="176"/>
        <v>-62930.562499999854</v>
      </c>
      <c r="K558" s="47">
        <f t="shared" si="177"/>
        <v>-2069.4374999999509</v>
      </c>
    </row>
    <row r="559" spans="1:11">
      <c r="A559" s="137">
        <v>45838</v>
      </c>
      <c r="B559" s="47">
        <v>-65000</v>
      </c>
      <c r="C559" s="47">
        <f t="shared" si="170"/>
        <v>18452.958333333347</v>
      </c>
      <c r="D559" s="47">
        <f t="shared" si="171"/>
        <v>-46547.041666666657</v>
      </c>
      <c r="E559" s="41">
        <f t="shared" si="172"/>
        <v>11337.967333333345</v>
      </c>
      <c r="F559" s="140">
        <f t="shared" si="173"/>
        <v>-65000</v>
      </c>
      <c r="G559" s="47">
        <f t="shared" si="174"/>
        <v>-18452.958333333347</v>
      </c>
      <c r="H559" s="52">
        <f t="shared" si="175"/>
        <v>11337.967333333345</v>
      </c>
      <c r="I559" s="505">
        <f t="shared" si="169"/>
        <v>-160.0625</v>
      </c>
      <c r="J559" s="47">
        <f t="shared" si="176"/>
        <v>-63090.624999999854</v>
      </c>
      <c r="K559" s="47">
        <f t="shared" si="177"/>
        <v>-1909.3749999999509</v>
      </c>
    </row>
    <row r="560" spans="1:11">
      <c r="A560" s="137">
        <v>45869</v>
      </c>
      <c r="B560" s="47">
        <v>-65000</v>
      </c>
      <c r="C560" s="47">
        <f t="shared" si="170"/>
        <v>18566.166666666679</v>
      </c>
      <c r="D560" s="47">
        <f t="shared" si="171"/>
        <v>-46433.833333333321</v>
      </c>
      <c r="E560" s="41">
        <f t="shared" si="172"/>
        <v>11349.868291666677</v>
      </c>
      <c r="F560" s="140">
        <f t="shared" si="173"/>
        <v>-65000</v>
      </c>
      <c r="G560" s="47">
        <f t="shared" si="174"/>
        <v>-18566.166666666679</v>
      </c>
      <c r="H560" s="52">
        <f t="shared" si="175"/>
        <v>11349.868291666677</v>
      </c>
      <c r="I560" s="505">
        <f t="shared" si="169"/>
        <v>-160.0625</v>
      </c>
      <c r="J560" s="47">
        <f t="shared" si="176"/>
        <v>-63250.687499999854</v>
      </c>
      <c r="K560" s="47">
        <f t="shared" si="177"/>
        <v>-1749.3124999999509</v>
      </c>
    </row>
    <row r="561" spans="1:11">
      <c r="A561" s="137">
        <v>45900</v>
      </c>
      <c r="B561" s="47">
        <v>-65000</v>
      </c>
      <c r="C561" s="47">
        <f t="shared" si="170"/>
        <v>18679.375000000011</v>
      </c>
      <c r="D561" s="47">
        <f t="shared" si="171"/>
        <v>-46320.624999999985</v>
      </c>
      <c r="E561" s="41">
        <f t="shared" si="172"/>
        <v>11361.76925000001</v>
      </c>
      <c r="F561" s="140">
        <f t="shared" si="173"/>
        <v>-65000</v>
      </c>
      <c r="G561" s="47">
        <f t="shared" si="174"/>
        <v>-18679.375000000011</v>
      </c>
      <c r="H561" s="52">
        <f t="shared" si="175"/>
        <v>11361.76925000001</v>
      </c>
      <c r="I561" s="505">
        <f t="shared" si="169"/>
        <v>-160.0625</v>
      </c>
      <c r="J561" s="47">
        <f t="shared" si="176"/>
        <v>-63410.749999999854</v>
      </c>
      <c r="K561" s="47">
        <f t="shared" si="177"/>
        <v>-1589.2499999999509</v>
      </c>
    </row>
    <row r="562" spans="1:11">
      <c r="A562" s="137">
        <v>45930</v>
      </c>
      <c r="B562" s="47">
        <v>-65000</v>
      </c>
      <c r="C562" s="47">
        <f t="shared" si="170"/>
        <v>18792.583333333343</v>
      </c>
      <c r="D562" s="47">
        <f t="shared" si="171"/>
        <v>-46207.416666666657</v>
      </c>
      <c r="E562" s="41">
        <f t="shared" si="172"/>
        <v>11373.670208333344</v>
      </c>
      <c r="F562" s="140">
        <f t="shared" si="173"/>
        <v>-65000</v>
      </c>
      <c r="G562" s="47">
        <f t="shared" si="174"/>
        <v>-18792.583333333343</v>
      </c>
      <c r="H562" s="52">
        <f t="shared" si="175"/>
        <v>11373.670208333344</v>
      </c>
      <c r="I562" s="505">
        <f t="shared" si="169"/>
        <v>-160.0625</v>
      </c>
      <c r="J562" s="47">
        <f t="shared" si="176"/>
        <v>-63570.812499999854</v>
      </c>
      <c r="K562" s="47">
        <f t="shared" si="177"/>
        <v>-1429.1874999999509</v>
      </c>
    </row>
    <row r="563" spans="1:11">
      <c r="A563" s="137">
        <v>45961</v>
      </c>
      <c r="B563" s="47">
        <v>-65000</v>
      </c>
      <c r="C563" s="47">
        <f t="shared" si="170"/>
        <v>18905.791666666675</v>
      </c>
      <c r="D563" s="47">
        <f t="shared" si="171"/>
        <v>-46094.208333333328</v>
      </c>
      <c r="E563" s="41">
        <f t="shared" si="172"/>
        <v>11385.571166666679</v>
      </c>
      <c r="F563" s="140">
        <f t="shared" si="173"/>
        <v>-65000</v>
      </c>
      <c r="G563" s="47">
        <f t="shared" si="174"/>
        <v>-18905.791666666675</v>
      </c>
      <c r="H563" s="52">
        <f t="shared" si="175"/>
        <v>11385.571166666679</v>
      </c>
      <c r="I563" s="505">
        <f t="shared" si="169"/>
        <v>-160.0625</v>
      </c>
      <c r="J563" s="47">
        <f t="shared" si="176"/>
        <v>-63730.874999999854</v>
      </c>
      <c r="K563" s="47">
        <f t="shared" si="177"/>
        <v>-1269.1249999999509</v>
      </c>
    </row>
    <row r="564" spans="1:11">
      <c r="A564" s="137">
        <v>45991</v>
      </c>
      <c r="B564" s="47">
        <v>-65000</v>
      </c>
      <c r="C564" s="47">
        <f t="shared" si="170"/>
        <v>19019.000000000007</v>
      </c>
      <c r="D564" s="47">
        <f t="shared" si="171"/>
        <v>-45980.999999999993</v>
      </c>
      <c r="E564" s="41">
        <f t="shared" si="172"/>
        <v>11397.472125000011</v>
      </c>
      <c r="F564" s="140">
        <f t="shared" si="173"/>
        <v>-65000</v>
      </c>
      <c r="G564" s="47">
        <f t="shared" si="174"/>
        <v>-19019.000000000007</v>
      </c>
      <c r="H564" s="52">
        <f t="shared" si="175"/>
        <v>11397.472125000011</v>
      </c>
      <c r="I564" s="505">
        <f t="shared" si="169"/>
        <v>-160.0625</v>
      </c>
      <c r="J564" s="47">
        <f t="shared" si="176"/>
        <v>-63890.937499999854</v>
      </c>
      <c r="K564" s="47">
        <f t="shared" si="177"/>
        <v>-1109.0624999999509</v>
      </c>
    </row>
    <row r="565" spans="1:11">
      <c r="A565" s="137">
        <v>46022</v>
      </c>
      <c r="B565" s="47">
        <v>-65000</v>
      </c>
      <c r="C565" s="47">
        <f>-B565*$C$5/12+C564</f>
        <v>19132.208333333339</v>
      </c>
      <c r="D565" s="47">
        <f>+B565+C565</f>
        <v>-45867.791666666657</v>
      </c>
      <c r="E565" s="41">
        <f>(-D565+K565)*0.254</f>
        <v>11409.373083333345</v>
      </c>
      <c r="F565" s="140">
        <f>B565</f>
        <v>-65000</v>
      </c>
      <c r="G565" s="47">
        <f>-C565</f>
        <v>-19132.208333333339</v>
      </c>
      <c r="H565" s="52">
        <f>E565</f>
        <v>11409.373083333345</v>
      </c>
      <c r="I565" s="505">
        <f t="shared" si="169"/>
        <v>-160.0625</v>
      </c>
      <c r="J565" s="47">
        <f>+I565+J564</f>
        <v>-64050.999999999854</v>
      </c>
      <c r="K565" s="47">
        <f>+K564-I565</f>
        <v>-948.99999999995089</v>
      </c>
    </row>
    <row r="567" spans="1:11">
      <c r="A567" t="s">
        <v>983</v>
      </c>
      <c r="B567" s="47"/>
      <c r="C567" s="270">
        <f>+C225*12+C397*12+C46*12</f>
        <v>49257.289125412513</v>
      </c>
      <c r="D567" t="s">
        <v>1724</v>
      </c>
    </row>
  </sheetData>
  <pageMargins left="0.7" right="0.7" top="0.75" bottom="0.75" header="0.3" footer="0.3"/>
  <pageSetup scale="35" fitToHeight="6" orientation="landscape" r:id="rId1"/>
  <rowBreaks count="5" manualBreakCount="5">
    <brk id="43" max="16383" man="1"/>
    <brk id="144" max="10" man="1"/>
    <brk id="281" max="10" man="1"/>
    <brk id="396" max="16383" man="1"/>
    <brk id="4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5"/>
  <sheetViews>
    <sheetView zoomScaleNormal="100" workbookViewId="0">
      <selection activeCell="F25" sqref="F25"/>
    </sheetView>
  </sheetViews>
  <sheetFormatPr defaultColWidth="9.140625" defaultRowHeight="15"/>
  <cols>
    <col min="1" max="1" width="9.140625" style="41"/>
    <col min="2" max="2" width="70.5703125" style="41" customWidth="1"/>
    <col min="3" max="3" width="44" style="41" customWidth="1"/>
    <col min="4" max="5" width="19" style="41" bestFit="1" customWidth="1"/>
    <col min="6" max="6" width="19.42578125" style="41" bestFit="1" customWidth="1"/>
    <col min="7" max="7" width="18.7109375" style="43" bestFit="1" customWidth="1"/>
    <col min="8" max="8" width="30.42578125" style="41" bestFit="1" customWidth="1"/>
    <col min="9" max="9" width="46.5703125" style="41" bestFit="1" customWidth="1"/>
    <col min="10" max="10" width="9.140625" style="41"/>
    <col min="11" max="11" width="14" style="41" customWidth="1"/>
    <col min="12" max="12" width="14.28515625" style="41" bestFit="1" customWidth="1"/>
    <col min="13" max="16384" width="9.140625" style="41"/>
  </cols>
  <sheetData>
    <row r="1" spans="1:11">
      <c r="A1" s="40" t="s">
        <v>0</v>
      </c>
      <c r="C1" s="478"/>
    </row>
    <row r="2" spans="1:11">
      <c r="A2" s="40" t="s">
        <v>102</v>
      </c>
      <c r="C2" s="311"/>
    </row>
    <row r="4" spans="1:11">
      <c r="B4" s="41" t="s">
        <v>670</v>
      </c>
    </row>
    <row r="5" spans="1:11" ht="15.75" thickBot="1">
      <c r="B5" s="480" t="s">
        <v>1725</v>
      </c>
    </row>
    <row r="6" spans="1:11" s="42" customFormat="1" ht="30" customHeight="1">
      <c r="B6" s="48" t="s">
        <v>277</v>
      </c>
      <c r="C6" s="49" t="s">
        <v>326</v>
      </c>
      <c r="D6" s="479">
        <v>45291</v>
      </c>
      <c r="E6" s="479">
        <v>45657</v>
      </c>
      <c r="F6" s="49" t="s">
        <v>281</v>
      </c>
      <c r="G6" s="50" t="s">
        <v>282</v>
      </c>
      <c r="H6" s="49" t="s">
        <v>283</v>
      </c>
      <c r="I6" s="55" t="s">
        <v>5</v>
      </c>
    </row>
    <row r="7" spans="1:11">
      <c r="B7" s="51"/>
      <c r="I7" s="52"/>
    </row>
    <row r="8" spans="1:11">
      <c r="B8" s="51" t="s">
        <v>288</v>
      </c>
      <c r="C8" s="41" t="s">
        <v>1678</v>
      </c>
      <c r="D8" s="249">
        <v>801640</v>
      </c>
      <c r="E8" s="249">
        <v>791613</v>
      </c>
      <c r="F8" s="41">
        <f t="shared" ref="F8:F21" si="0">(+E8+D8)/2</f>
        <v>796626.5</v>
      </c>
      <c r="G8" s="43">
        <f>+H8/F8</f>
        <v>7.690324439040741E-2</v>
      </c>
      <c r="H8" s="41">
        <f>-'Attachment H-1'!H93*'Attachment H-1'!H310</f>
        <v>61263.162417374886</v>
      </c>
      <c r="I8" s="52" t="s">
        <v>300</v>
      </c>
    </row>
    <row r="9" spans="1:11">
      <c r="B9" s="51" t="s">
        <v>289</v>
      </c>
      <c r="C9" s="41" t="s">
        <v>331</v>
      </c>
      <c r="D9" s="249">
        <v>-36482583</v>
      </c>
      <c r="E9" s="249">
        <v>-36677515</v>
      </c>
      <c r="F9" s="41">
        <f t="shared" si="0"/>
        <v>-36580049</v>
      </c>
      <c r="G9" s="43">
        <f>+H9/F9</f>
        <v>0</v>
      </c>
      <c r="H9" s="41">
        <f>-'Attachment H-1'!H84*'Attachment H-1'!H310</f>
        <v>0</v>
      </c>
      <c r="I9" s="52" t="s">
        <v>300</v>
      </c>
    </row>
    <row r="10" spans="1:11">
      <c r="B10" s="51" t="s">
        <v>1640</v>
      </c>
      <c r="C10" s="577" t="s">
        <v>332</v>
      </c>
      <c r="D10" s="249">
        <v>266191.74599999998</v>
      </c>
      <c r="E10" s="249">
        <v>223603</v>
      </c>
      <c r="F10" s="41">
        <f t="shared" si="0"/>
        <v>244897.37299999999</v>
      </c>
      <c r="G10" s="43">
        <v>1</v>
      </c>
      <c r="H10" s="41">
        <f>+F10*G10</f>
        <v>244897.37299999999</v>
      </c>
      <c r="I10" s="52"/>
      <c r="K10" s="311"/>
    </row>
    <row r="11" spans="1:11">
      <c r="B11" s="51" t="s">
        <v>297</v>
      </c>
      <c r="C11" s="41" t="s">
        <v>1581</v>
      </c>
      <c r="D11" s="249">
        <v>21082074</v>
      </c>
      <c r="E11" s="249">
        <v>25615596</v>
      </c>
      <c r="F11" s="41">
        <f t="shared" si="0"/>
        <v>23348835</v>
      </c>
      <c r="G11" s="43">
        <f>+'Attachment H-1'!H28</f>
        <v>0.29680000000000001</v>
      </c>
      <c r="H11" s="41">
        <f t="shared" ref="H11:H22" si="1">+F11*G11</f>
        <v>6929934.2280000001</v>
      </c>
      <c r="I11" s="52" t="s">
        <v>291</v>
      </c>
    </row>
    <row r="12" spans="1:11">
      <c r="B12" s="51"/>
      <c r="D12" s="249">
        <v>0</v>
      </c>
      <c r="E12" s="249">
        <v>0</v>
      </c>
      <c r="I12" s="52"/>
    </row>
    <row r="13" spans="1:11">
      <c r="B13" s="51" t="s">
        <v>893</v>
      </c>
      <c r="C13" s="41" t="s">
        <v>332</v>
      </c>
      <c r="D13" s="249">
        <v>18931091.109999999</v>
      </c>
      <c r="E13" s="249">
        <v>27307726.009999998</v>
      </c>
      <c r="F13" s="41">
        <f t="shared" si="0"/>
        <v>23119408.559999999</v>
      </c>
      <c r="G13" s="43">
        <f>+'Attachment H-1'!H28</f>
        <v>0.29680000000000001</v>
      </c>
      <c r="H13" s="41">
        <f t="shared" si="1"/>
        <v>6861840.4606079999</v>
      </c>
      <c r="I13" s="316" t="s">
        <v>1466</v>
      </c>
    </row>
    <row r="14" spans="1:11">
      <c r="B14" s="57" t="s">
        <v>894</v>
      </c>
      <c r="C14" s="44" t="s">
        <v>332</v>
      </c>
      <c r="D14" s="249">
        <v>69083272</v>
      </c>
      <c r="E14" s="249">
        <v>69083272</v>
      </c>
      <c r="F14" s="44">
        <f t="shared" si="0"/>
        <v>69083272</v>
      </c>
      <c r="G14" s="43">
        <v>0</v>
      </c>
      <c r="H14" s="41">
        <f t="shared" si="1"/>
        <v>0</v>
      </c>
      <c r="I14" s="314"/>
    </row>
    <row r="15" spans="1:11">
      <c r="B15" s="51" t="s">
        <v>895</v>
      </c>
      <c r="C15" s="41" t="s">
        <v>1679</v>
      </c>
      <c r="D15" s="594">
        <f>SUM(D13:D14)</f>
        <v>88014363.109999999</v>
      </c>
      <c r="E15" s="594">
        <f>SUM(E13:E14)</f>
        <v>96390998.00999999</v>
      </c>
      <c r="F15" s="41">
        <f t="shared" si="0"/>
        <v>92202680.560000002</v>
      </c>
      <c r="I15" s="52"/>
    </row>
    <row r="16" spans="1:11">
      <c r="B16" s="51"/>
      <c r="I16" s="52"/>
    </row>
    <row r="17" spans="2:9">
      <c r="B17" s="51" t="s">
        <v>338</v>
      </c>
      <c r="C17" s="41" t="s">
        <v>332</v>
      </c>
      <c r="D17" s="249">
        <v>12750891</v>
      </c>
      <c r="E17" s="249">
        <v>38260954</v>
      </c>
      <c r="F17" s="41">
        <f t="shared" si="0"/>
        <v>25505922.5</v>
      </c>
      <c r="G17" s="43">
        <f>+'Attachment H-1'!H28</f>
        <v>0.29680000000000001</v>
      </c>
      <c r="H17" s="41">
        <f t="shared" si="1"/>
        <v>7570157.7980000004</v>
      </c>
      <c r="I17" s="52" t="s">
        <v>291</v>
      </c>
    </row>
    <row r="18" spans="2:9">
      <c r="B18" s="57" t="s">
        <v>339</v>
      </c>
      <c r="C18" s="44" t="s">
        <v>332</v>
      </c>
      <c r="D18" s="249">
        <v>0</v>
      </c>
      <c r="E18" s="250">
        <v>0</v>
      </c>
      <c r="F18" s="44">
        <f t="shared" si="0"/>
        <v>0</v>
      </c>
      <c r="G18" s="43">
        <v>0</v>
      </c>
      <c r="H18" s="41">
        <f t="shared" si="1"/>
        <v>0</v>
      </c>
      <c r="I18" s="52"/>
    </row>
    <row r="19" spans="2:9">
      <c r="B19" s="51" t="s">
        <v>337</v>
      </c>
      <c r="C19" s="41" t="s">
        <v>1680</v>
      </c>
      <c r="D19" s="594">
        <f>SUM(D17:D18)</f>
        <v>12750891</v>
      </c>
      <c r="E19" s="41">
        <f>SUM(E17:E18)</f>
        <v>38260954</v>
      </c>
      <c r="F19" s="41">
        <f t="shared" si="0"/>
        <v>25505922.5</v>
      </c>
      <c r="I19" s="52"/>
    </row>
    <row r="20" spans="2:9">
      <c r="B20" s="51"/>
      <c r="H20" s="317"/>
      <c r="I20" s="52"/>
    </row>
    <row r="21" spans="2:9">
      <c r="B21" s="51" t="s">
        <v>290</v>
      </c>
      <c r="D21" s="249">
        <v>175825037</v>
      </c>
      <c r="E21" s="249">
        <v>68134064.403836638</v>
      </c>
      <c r="F21" s="41">
        <f t="shared" si="0"/>
        <v>121979550.70191832</v>
      </c>
      <c r="G21" s="43">
        <v>0</v>
      </c>
      <c r="H21" s="41">
        <f t="shared" si="1"/>
        <v>0</v>
      </c>
      <c r="I21" s="314"/>
    </row>
    <row r="22" spans="2:9">
      <c r="B22" s="51" t="s">
        <v>1697</v>
      </c>
      <c r="C22" s="41" t="s">
        <v>1583</v>
      </c>
      <c r="D22" s="44">
        <f>'Schedule 14 ADIT'!AD69</f>
        <v>78675660.413594663</v>
      </c>
      <c r="E22" s="44">
        <f>'Schedule 14 ADIT'!AF69</f>
        <v>71610632.024303824</v>
      </c>
      <c r="F22" s="41">
        <f>(+E22+D22)/2</f>
        <v>75143146.218949243</v>
      </c>
      <c r="G22" s="616"/>
      <c r="H22" s="41">
        <f>'Schedule 14 ADIT'!AK69</f>
        <v>10553228.590364648</v>
      </c>
      <c r="I22" s="314"/>
    </row>
    <row r="23" spans="2:9" s="40" customFormat="1" ht="15.75" thickBot="1">
      <c r="B23" s="59" t="s">
        <v>327</v>
      </c>
      <c r="C23" s="60" t="s">
        <v>285</v>
      </c>
      <c r="D23" s="60">
        <f>SUM(D8:D11)+D21+D15+D19+D22</f>
        <v>340933274.26959467</v>
      </c>
      <c r="E23" s="60">
        <f>SUM(E8:E11)+E21+E15+E19+E22</f>
        <v>264349945.43814045</v>
      </c>
      <c r="F23" s="60">
        <f>(+E23+D23)/2</f>
        <v>302641609.85386753</v>
      </c>
      <c r="G23" s="60"/>
      <c r="H23" s="60">
        <f>SUM(H7:H22)</f>
        <v>32221321.612390026</v>
      </c>
      <c r="I23" s="52"/>
    </row>
    <row r="24" spans="2:9" ht="15.75" thickBot="1">
      <c r="B24" s="67"/>
      <c r="C24" s="67"/>
      <c r="D24" s="67"/>
      <c r="E24" s="67"/>
      <c r="F24" s="67"/>
      <c r="G24" s="68"/>
      <c r="H24" s="67"/>
      <c r="I24" s="62"/>
    </row>
    <row r="25" spans="2:9" ht="30" customHeight="1">
      <c r="B25" s="58" t="s">
        <v>278</v>
      </c>
      <c r="C25" s="49" t="s">
        <v>326</v>
      </c>
      <c r="D25" s="479">
        <f>D6</f>
        <v>45291</v>
      </c>
      <c r="E25" s="479">
        <f>E6</f>
        <v>45657</v>
      </c>
      <c r="F25" s="49" t="s">
        <v>281</v>
      </c>
      <c r="G25" s="50" t="s">
        <v>282</v>
      </c>
      <c r="H25" s="49" t="s">
        <v>283</v>
      </c>
      <c r="I25" s="55" t="s">
        <v>5</v>
      </c>
    </row>
    <row r="26" spans="2:9">
      <c r="B26" s="51"/>
      <c r="I26" s="52"/>
    </row>
    <row r="27" spans="2:9">
      <c r="B27" s="51" t="s">
        <v>290</v>
      </c>
      <c r="D27" s="249">
        <v>-1974413</v>
      </c>
      <c r="E27" s="249">
        <v>-1970686</v>
      </c>
      <c r="F27" s="41">
        <f>(+E27+D27)/2</f>
        <v>-1972549.5</v>
      </c>
      <c r="G27" s="43">
        <v>0</v>
      </c>
      <c r="H27" s="41">
        <f>+F27*G27</f>
        <v>0</v>
      </c>
      <c r="I27" s="52"/>
    </row>
    <row r="28" spans="2:9">
      <c r="B28" s="51"/>
      <c r="D28" s="315"/>
      <c r="E28" s="315"/>
      <c r="I28" s="52"/>
    </row>
    <row r="29" spans="2:9" s="40" customFormat="1" ht="15.75" thickBot="1">
      <c r="B29" s="59" t="s">
        <v>328</v>
      </c>
      <c r="C29" s="60" t="s">
        <v>284</v>
      </c>
      <c r="D29" s="60">
        <f>D27</f>
        <v>-1974413</v>
      </c>
      <c r="E29" s="60">
        <f>E27</f>
        <v>-1970686</v>
      </c>
      <c r="F29" s="60">
        <f>(+E29+D29)/2</f>
        <v>-1972549.5</v>
      </c>
      <c r="G29" s="60"/>
      <c r="H29" s="60">
        <f>SUM(H27:H28)</f>
        <v>0</v>
      </c>
      <c r="I29" s="62"/>
    </row>
    <row r="30" spans="2:9" ht="15.75" thickBot="1">
      <c r="B30" s="67"/>
      <c r="C30" s="67"/>
      <c r="D30" s="67"/>
      <c r="E30" s="67"/>
      <c r="F30" s="67"/>
      <c r="G30" s="68"/>
      <c r="H30" s="67"/>
      <c r="I30" s="67"/>
    </row>
    <row r="31" spans="2:9" ht="30">
      <c r="B31" s="58" t="s">
        <v>279</v>
      </c>
      <c r="C31" s="49" t="s">
        <v>326</v>
      </c>
      <c r="D31" s="479">
        <f>D6</f>
        <v>45291</v>
      </c>
      <c r="E31" s="479">
        <f>E6</f>
        <v>45657</v>
      </c>
      <c r="F31" s="49" t="s">
        <v>281</v>
      </c>
      <c r="G31" s="50" t="s">
        <v>282</v>
      </c>
      <c r="H31" s="49" t="s">
        <v>283</v>
      </c>
      <c r="I31" s="55" t="s">
        <v>5</v>
      </c>
    </row>
    <row r="32" spans="2:9">
      <c r="B32" s="51"/>
      <c r="I32" s="52"/>
    </row>
    <row r="33" spans="2:9">
      <c r="B33" s="51" t="s">
        <v>293</v>
      </c>
      <c r="C33" s="41" t="s">
        <v>332</v>
      </c>
      <c r="D33" s="249">
        <v>-159905124.74000001</v>
      </c>
      <c r="E33" s="249">
        <v>-170714996.74000001</v>
      </c>
      <c r="F33" s="41">
        <f>(+E33+D33)/2</f>
        <v>-165310060.74000001</v>
      </c>
      <c r="G33" s="43">
        <v>1</v>
      </c>
      <c r="H33" s="41">
        <f>+F33*G33</f>
        <v>-165310060.74000001</v>
      </c>
      <c r="I33" s="314"/>
    </row>
    <row r="34" spans="2:9">
      <c r="B34" s="51" t="s">
        <v>292</v>
      </c>
      <c r="C34" s="41" t="s">
        <v>332</v>
      </c>
      <c r="D34" s="249">
        <v>803795</v>
      </c>
      <c r="E34" s="249">
        <v>803795</v>
      </c>
      <c r="F34" s="41">
        <f>(+E34+D34)/2</f>
        <v>803795</v>
      </c>
      <c r="G34" s="43">
        <f>+'Attachment H-1'!H28</f>
        <v>0.29680000000000001</v>
      </c>
      <c r="H34" s="41">
        <f>+F34*G34</f>
        <v>238566.356</v>
      </c>
      <c r="I34" s="316" t="s">
        <v>1466</v>
      </c>
    </row>
    <row r="35" spans="2:9">
      <c r="B35" s="51" t="s">
        <v>296</v>
      </c>
      <c r="C35" s="41" t="s">
        <v>332</v>
      </c>
      <c r="D35" s="249">
        <v>-3997290.89</v>
      </c>
      <c r="E35" s="249">
        <v>-5154378.8900000006</v>
      </c>
      <c r="F35" s="41">
        <f>(+E35+D35)/2</f>
        <v>-4575834.8900000006</v>
      </c>
      <c r="G35" s="43">
        <f>+'Attachment H-1'!H28</f>
        <v>0.29680000000000001</v>
      </c>
      <c r="H35" s="41">
        <f>+F35*G35</f>
        <v>-1358107.7953520003</v>
      </c>
      <c r="I35" s="316" t="s">
        <v>1466</v>
      </c>
    </row>
    <row r="36" spans="2:9">
      <c r="B36" s="51" t="s">
        <v>295</v>
      </c>
      <c r="C36" s="41" t="s">
        <v>332</v>
      </c>
      <c r="D36" s="249">
        <v>-14204011</v>
      </c>
      <c r="E36" s="249">
        <v>-14204011</v>
      </c>
      <c r="F36" s="41">
        <f>(+E36+D36)/2</f>
        <v>-14204011</v>
      </c>
      <c r="G36" s="43">
        <f>+'Attachment H-1'!H28</f>
        <v>0.29680000000000001</v>
      </c>
      <c r="H36" s="41">
        <f>+F36*G36</f>
        <v>-4215750.4648000002</v>
      </c>
      <c r="I36" s="316" t="s">
        <v>1466</v>
      </c>
    </row>
    <row r="37" spans="2:9">
      <c r="B37" s="51" t="s">
        <v>290</v>
      </c>
      <c r="D37" s="249">
        <v>-437911764.37</v>
      </c>
      <c r="E37" s="249">
        <v>-384721447.37</v>
      </c>
      <c r="F37" s="41">
        <f>(+E37+D37)/2</f>
        <v>-411316605.87</v>
      </c>
      <c r="G37" s="43">
        <v>0</v>
      </c>
      <c r="H37" s="41">
        <f>+G37*F37</f>
        <v>0</v>
      </c>
      <c r="I37" s="314"/>
    </row>
    <row r="38" spans="2:9">
      <c r="B38" s="57"/>
      <c r="C38" s="44"/>
      <c r="D38" s="44"/>
      <c r="E38" s="44"/>
      <c r="F38" s="44"/>
      <c r="G38" s="45"/>
      <c r="H38" s="44"/>
      <c r="I38" s="52"/>
    </row>
    <row r="39" spans="2:9">
      <c r="B39" s="56" t="s">
        <v>329</v>
      </c>
      <c r="C39" s="40" t="s">
        <v>286</v>
      </c>
      <c r="D39" s="41">
        <f>SUM(D33:D37)</f>
        <v>-615214396</v>
      </c>
      <c r="E39" s="41">
        <f>SUM(E33:E37)</f>
        <v>-573991039</v>
      </c>
      <c r="F39" s="41">
        <f>(+E39+D39)/2</f>
        <v>-594602717.5</v>
      </c>
      <c r="G39" s="41"/>
      <c r="H39" s="41">
        <f>SUM(H32:H38)</f>
        <v>-170645352.64415202</v>
      </c>
      <c r="I39" s="52"/>
    </row>
    <row r="40" spans="2:9">
      <c r="B40" s="56"/>
      <c r="C40" s="40"/>
      <c r="G40" s="41"/>
      <c r="I40" s="52"/>
    </row>
    <row r="41" spans="2:9">
      <c r="B41" s="51" t="s">
        <v>294</v>
      </c>
      <c r="C41" s="41" t="s">
        <v>332</v>
      </c>
      <c r="D41" s="249">
        <v>-13368967.630000001</v>
      </c>
      <c r="E41" s="249">
        <v>-12005125</v>
      </c>
      <c r="F41" s="41">
        <f>(+E41+D41)/2</f>
        <v>-12687046.315000001</v>
      </c>
      <c r="G41" s="43">
        <f>('Schedule 1A - Svcs Co Plant_Rev'!P29-'Schedule 1A - Svcs Co Plant_Rev'!P33)/('Schedule 1A - Svcs Co Plant_Rev'!P17-'Schedule 1A - Svcs Co Plant_Rev'!P23)</f>
        <v>8.0374981065172352E-2</v>
      </c>
      <c r="H41" s="41">
        <f>+F41*G41</f>
        <v>-1019721.1073410898</v>
      </c>
      <c r="I41" s="52" t="s">
        <v>501</v>
      </c>
    </row>
    <row r="42" spans="2:9">
      <c r="B42" s="51" t="s">
        <v>333</v>
      </c>
      <c r="C42" s="40"/>
      <c r="G42" s="41"/>
      <c r="I42" s="52"/>
    </row>
    <row r="43" spans="2:9">
      <c r="B43" s="51" t="s">
        <v>760</v>
      </c>
      <c r="C43" s="41" t="s">
        <v>569</v>
      </c>
      <c r="D43" s="41">
        <f>-'Schedule 13 Direct Assignment'!M50</f>
        <v>42310370.942449257</v>
      </c>
      <c r="E43" s="41">
        <f>-'Schedule 13 Direct Assignment'!M51</f>
        <v>36890768.849492319</v>
      </c>
      <c r="F43" s="41">
        <f>(+E43+D43)/2</f>
        <v>39600569.895970792</v>
      </c>
      <c r="G43" s="43">
        <v>1</v>
      </c>
      <c r="H43" s="41">
        <f>+F43*G43</f>
        <v>39600569.895970792</v>
      </c>
      <c r="I43" s="52"/>
    </row>
    <row r="44" spans="2:9">
      <c r="B44" s="51"/>
      <c r="C44" s="40"/>
      <c r="G44" s="41"/>
      <c r="I44" s="52"/>
    </row>
    <row r="45" spans="2:9" s="40" customFormat="1" ht="15.75" thickBot="1">
      <c r="B45" s="59" t="s">
        <v>759</v>
      </c>
      <c r="C45" s="60"/>
      <c r="D45" s="60">
        <f>SUM(D39:D44)</f>
        <v>-586272992.68755078</v>
      </c>
      <c r="E45" s="60">
        <f>SUM(E39:E44)</f>
        <v>-549105395.15050769</v>
      </c>
      <c r="F45" s="60">
        <f>SUM(F39:F44)</f>
        <v>-567689193.91902924</v>
      </c>
      <c r="G45" s="60"/>
      <c r="H45" s="60">
        <f>SUM(H39:H44)</f>
        <v>-132064503.8555223</v>
      </c>
      <c r="I45" s="62"/>
    </row>
    <row r="46" spans="2:9" s="40" customFormat="1" ht="15.75" thickBot="1">
      <c r="B46" s="180"/>
      <c r="C46" s="180"/>
      <c r="D46" s="180"/>
      <c r="E46" s="180"/>
      <c r="F46" s="180"/>
      <c r="G46" s="180"/>
      <c r="H46" s="180"/>
      <c r="I46" s="180"/>
    </row>
    <row r="47" spans="2:9" s="40" customFormat="1">
      <c r="B47" s="181" t="s">
        <v>1163</v>
      </c>
      <c r="C47" s="182"/>
      <c r="D47" s="182"/>
      <c r="E47" s="182"/>
      <c r="F47" s="182"/>
      <c r="G47" s="182"/>
      <c r="H47" s="182"/>
      <c r="I47" s="183"/>
    </row>
    <row r="48" spans="2:9" s="40" customFormat="1">
      <c r="B48" s="56"/>
      <c r="C48" s="41" t="s">
        <v>1165</v>
      </c>
      <c r="D48" s="44">
        <f>'Schedule 1C - Settlement Adjust'!$H32+'Schedule 1C - Settlement Adjust'!$H196+'Schedule 1C - Settlement Adjust'!$H369+'Schedule 1C - Settlement Adjust'!$H541</f>
        <v>1239831.7371637048</v>
      </c>
      <c r="E48" s="44">
        <f>'Schedule 1C - Settlement Adjust'!$H32+'Schedule 1C - Settlement Adjust'!$H208+'Schedule 1C - Settlement Adjust'!$H381+'Schedule 1C - Settlement Adjust'!$H553</f>
        <v>1243968.6783836968</v>
      </c>
      <c r="F48" s="44">
        <f>AVERAGE(D48:E48)</f>
        <v>1241900.2077737008</v>
      </c>
      <c r="G48" s="45">
        <v>1</v>
      </c>
      <c r="H48" s="44">
        <f>+F48*G48</f>
        <v>1241900.2077737008</v>
      </c>
      <c r="I48" s="314"/>
    </row>
    <row r="49" spans="2:9" s="40" customFormat="1" ht="15.75" thickBot="1">
      <c r="B49" s="184" t="s">
        <v>1164</v>
      </c>
      <c r="C49" s="180"/>
      <c r="D49" s="180">
        <f>+D48</f>
        <v>1239831.7371637048</v>
      </c>
      <c r="E49" s="180">
        <f>+E48</f>
        <v>1243968.6783836968</v>
      </c>
      <c r="F49" s="180">
        <f>+F48</f>
        <v>1241900.2077737008</v>
      </c>
      <c r="G49" s="180"/>
      <c r="H49" s="180">
        <f>+H48</f>
        <v>1241900.2077737008</v>
      </c>
      <c r="I49" s="62"/>
    </row>
    <row r="50" spans="2:9" ht="15.75" thickBot="1">
      <c r="B50" s="53"/>
      <c r="C50" s="53"/>
      <c r="D50" s="53"/>
      <c r="E50" s="53"/>
      <c r="F50" s="53"/>
      <c r="G50" s="54"/>
      <c r="H50" s="53"/>
      <c r="I50" s="53"/>
    </row>
    <row r="51" spans="2:9" ht="30" customHeight="1">
      <c r="B51" s="58" t="s">
        <v>280</v>
      </c>
      <c r="C51" s="49" t="s">
        <v>326</v>
      </c>
      <c r="D51" s="479">
        <f>D6</f>
        <v>45291</v>
      </c>
      <c r="E51" s="479">
        <f>E6</f>
        <v>45657</v>
      </c>
      <c r="F51" s="49" t="s">
        <v>281</v>
      </c>
      <c r="G51" s="50" t="s">
        <v>282</v>
      </c>
      <c r="H51" s="49" t="s">
        <v>283</v>
      </c>
      <c r="I51" s="55" t="s">
        <v>5</v>
      </c>
    </row>
    <row r="52" spans="2:9">
      <c r="B52" s="51"/>
      <c r="I52" s="52"/>
    </row>
    <row r="53" spans="2:9">
      <c r="B53" s="51" t="s">
        <v>298</v>
      </c>
      <c r="C53" s="41" t="s">
        <v>1681</v>
      </c>
      <c r="D53" s="249">
        <v>-5861581</v>
      </c>
      <c r="E53" s="249">
        <v>-6007725</v>
      </c>
      <c r="F53" s="41">
        <f>(+E53+D53)/2</f>
        <v>-5934653</v>
      </c>
      <c r="G53" s="43">
        <f>+'Attachment H-1'!H28</f>
        <v>0.29680000000000001</v>
      </c>
      <c r="H53" s="41">
        <f>+F53*G53</f>
        <v>-1761405.0104</v>
      </c>
      <c r="I53" s="52" t="s">
        <v>291</v>
      </c>
    </row>
    <row r="54" spans="2:9">
      <c r="B54" s="51" t="s">
        <v>299</v>
      </c>
      <c r="C54" s="41" t="s">
        <v>1582</v>
      </c>
      <c r="D54" s="249">
        <v>-1658047</v>
      </c>
      <c r="E54" s="249">
        <v>-2687237</v>
      </c>
      <c r="F54" s="41">
        <f>(+E54+D54)/2</f>
        <v>-2172642</v>
      </c>
      <c r="G54" s="43">
        <f>+'Schedule 7 - Working capital'!E64/((+'Schedule 7 - Working capital'!E48+'Schedule 7 - Working capital'!E62)/2)</f>
        <v>0.34292574049070579</v>
      </c>
      <c r="H54" s="41">
        <f>+F54*G54</f>
        <v>-745054.86667120806</v>
      </c>
      <c r="I54" s="52" t="s">
        <v>301</v>
      </c>
    </row>
    <row r="55" spans="2:9">
      <c r="B55" s="51" t="s">
        <v>133</v>
      </c>
      <c r="C55" s="41" t="s">
        <v>1710</v>
      </c>
      <c r="D55" s="249">
        <v>-93128</v>
      </c>
      <c r="E55" s="249">
        <v>-580164</v>
      </c>
      <c r="F55" s="41">
        <f>(+E55+D55)/2</f>
        <v>-336646</v>
      </c>
      <c r="G55" s="43">
        <f>+H55/F55</f>
        <v>0</v>
      </c>
      <c r="H55" s="41">
        <f>-'Attachment H-1'!H310*(+'Schedule 5 Misc Def Debits'!E10+'Schedule 5 Misc Def Debits'!E33)/2</f>
        <v>0</v>
      </c>
      <c r="I55" s="52" t="s">
        <v>300</v>
      </c>
    </row>
    <row r="56" spans="2:9">
      <c r="B56" s="51" t="s">
        <v>502</v>
      </c>
      <c r="C56" s="577" t="s">
        <v>332</v>
      </c>
      <c r="D56" s="249">
        <v>0</v>
      </c>
      <c r="E56" s="249">
        <v>0</v>
      </c>
      <c r="F56" s="41">
        <f>(+E56+D56)/2</f>
        <v>0</v>
      </c>
      <c r="G56" s="43">
        <v>0</v>
      </c>
      <c r="H56" s="41">
        <f>+F56*G56</f>
        <v>0</v>
      </c>
      <c r="I56" s="52" t="s">
        <v>503</v>
      </c>
    </row>
    <row r="57" spans="2:9">
      <c r="B57" s="51" t="s">
        <v>290</v>
      </c>
      <c r="D57" s="249">
        <v>-231247692</v>
      </c>
      <c r="E57" s="249">
        <v>-265585202</v>
      </c>
      <c r="F57" s="41">
        <f>(+E57+D57)/2</f>
        <v>-248416447</v>
      </c>
      <c r="G57" s="43">
        <v>0</v>
      </c>
      <c r="H57" s="41">
        <f>+F57*G57</f>
        <v>0</v>
      </c>
      <c r="I57" s="52"/>
    </row>
    <row r="58" spans="2:9">
      <c r="B58" s="51"/>
      <c r="I58" s="52"/>
    </row>
    <row r="59" spans="2:9" s="40" customFormat="1" ht="15.75" thickBot="1">
      <c r="B59" s="59" t="s">
        <v>330</v>
      </c>
      <c r="C59" s="60" t="s">
        <v>1682</v>
      </c>
      <c r="D59" s="60">
        <f>SUM(D53:D58)</f>
        <v>-238860448</v>
      </c>
      <c r="E59" s="60">
        <f>SUM(E53:E58)</f>
        <v>-274860328</v>
      </c>
      <c r="F59" s="60">
        <f>(+E59+D59)/2</f>
        <v>-256860388</v>
      </c>
      <c r="G59" s="60"/>
      <c r="H59" s="60">
        <f>SUM(H52:H58)</f>
        <v>-2506459.8770712083</v>
      </c>
      <c r="I59" s="62"/>
    </row>
    <row r="60" spans="2:9" ht="15.75" thickBot="1">
      <c r="B60" s="66"/>
      <c r="C60" s="66"/>
      <c r="D60" s="67"/>
      <c r="E60" s="67"/>
      <c r="F60" s="67"/>
      <c r="G60" s="67"/>
      <c r="H60" s="67"/>
      <c r="I60" s="67"/>
    </row>
    <row r="61" spans="2:9" s="40" customFormat="1" ht="15.75" thickBot="1">
      <c r="B61" s="65" t="s">
        <v>287</v>
      </c>
      <c r="C61" s="66"/>
      <c r="D61" s="66">
        <f>+D59+D45+D29+D23+D49</f>
        <v>-484934747.68079239</v>
      </c>
      <c r="E61" s="66">
        <f>+E59+E45+E29+E23+E49</f>
        <v>-560342495.03398359</v>
      </c>
      <c r="F61" s="66">
        <f>+F59+F45+F29+F23+F49</f>
        <v>-522638621.35738802</v>
      </c>
      <c r="G61" s="66">
        <f>+G59+G45+G29+G23+G49</f>
        <v>0</v>
      </c>
      <c r="H61" s="66">
        <f>+H59+H45+H29+H23+H49</f>
        <v>-101107741.91242978</v>
      </c>
      <c r="I61" s="92"/>
    </row>
    <row r="63" spans="2:9">
      <c r="B63" s="480" t="s">
        <v>1565</v>
      </c>
      <c r="C63" s="480" t="s">
        <v>1570</v>
      </c>
      <c r="D63" s="311"/>
      <c r="E63" s="311"/>
      <c r="F63" s="311"/>
      <c r="G63" s="481"/>
      <c r="I63" s="480" t="s">
        <v>1571</v>
      </c>
    </row>
    <row r="64" spans="2:9" ht="15.75" thickBot="1">
      <c r="B64" s="41" t="s">
        <v>1841</v>
      </c>
      <c r="C64" s="41" t="s">
        <v>1583</v>
      </c>
      <c r="D64" s="41">
        <f>'Schedule 14 ADIT'!AD67</f>
        <v>-309743036.15939444</v>
      </c>
      <c r="E64" s="41">
        <f>'Schedule 14 ADIT'!AF67</f>
        <v>-281928292.28120863</v>
      </c>
      <c r="F64" s="41">
        <f>(+E64+D64)/2</f>
        <v>-295835664.22030151</v>
      </c>
      <c r="G64" s="616"/>
      <c r="H64" s="41">
        <f>'Schedule 14 ADIT'!AK67</f>
        <v>-41547653.336238742</v>
      </c>
    </row>
    <row r="65" spans="2:9" ht="15.75" thickBot="1">
      <c r="B65" s="65" t="s">
        <v>1584</v>
      </c>
      <c r="C65" s="66"/>
      <c r="D65" s="66"/>
      <c r="E65" s="66"/>
      <c r="F65" s="66"/>
      <c r="G65" s="66"/>
      <c r="H65" s="66">
        <f>+H61+SUM(H62:H64)</f>
        <v>-142655395.24866852</v>
      </c>
      <c r="I65" s="92" t="s">
        <v>592</v>
      </c>
    </row>
  </sheetData>
  <pageMargins left="0.7" right="0.7" top="0.5" bottom="0.5" header="0.3" footer="0.3"/>
  <pageSetup scale="44" fitToHeight="0" orientation="landscape" r:id="rId1"/>
  <ignoredErrors>
    <ignoredError sqref="D1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1"/>
  <sheetViews>
    <sheetView workbookViewId="0">
      <selection activeCell="N15" sqref="N15"/>
    </sheetView>
  </sheetViews>
  <sheetFormatPr defaultRowHeight="15"/>
  <cols>
    <col min="1" max="1" width="9.7109375" customWidth="1"/>
    <col min="2" max="2" width="32.28515625" bestFit="1" customWidth="1"/>
    <col min="3" max="3" width="1" customWidth="1"/>
    <col min="4" max="4" width="25.140625" bestFit="1" customWidth="1"/>
    <col min="5" max="5" width="1" customWidth="1"/>
    <col min="6" max="6" width="14.140625" customWidth="1"/>
    <col min="7" max="7" width="1" customWidth="1"/>
    <col min="8" max="8" width="21" bestFit="1" customWidth="1"/>
    <col min="13" max="13" width="30.85546875" bestFit="1" customWidth="1"/>
    <col min="14" max="14" width="33.5703125" bestFit="1" customWidth="1"/>
    <col min="15" max="15" width="42.140625" bestFit="1" customWidth="1"/>
  </cols>
  <sheetData>
    <row r="1" spans="1:10">
      <c r="A1" s="1" t="s">
        <v>0</v>
      </c>
    </row>
    <row r="2" spans="1:10">
      <c r="A2" s="1" t="s">
        <v>995</v>
      </c>
    </row>
    <row r="6" spans="1:10">
      <c r="B6" t="s">
        <v>656</v>
      </c>
      <c r="C6" s="1"/>
      <c r="D6" t="s">
        <v>56</v>
      </c>
      <c r="E6" s="1"/>
      <c r="F6" s="131">
        <f>+'FERC Form 1 Inputs'!L53</f>
        <v>5959361</v>
      </c>
    </row>
    <row r="8" spans="1:10">
      <c r="B8" t="s">
        <v>996</v>
      </c>
      <c r="D8" t="s">
        <v>493</v>
      </c>
      <c r="F8" s="277">
        <v>63699.049623193874</v>
      </c>
      <c r="H8" s="12"/>
      <c r="I8" s="12"/>
      <c r="J8" s="12"/>
    </row>
    <row r="10" spans="1:10" ht="15.75" thickBot="1">
      <c r="B10" t="s">
        <v>997</v>
      </c>
      <c r="F10" s="104">
        <f>+F6-F8</f>
        <v>5895661.9503768058</v>
      </c>
      <c r="H10" t="s">
        <v>998</v>
      </c>
    </row>
    <row r="11" spans="1:10" ht="15.75" thickTop="1"/>
  </sheetData>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 A C T I V E ! 1 5 8 2 3 2 4 3 0 . 2 < / d o c u m e n t i d >  
     < s e n d e r i d > C O L B Y A V < / s e n d e r i d >  
     < s e n d e r e m a i l > a m i e . c o l b y @ t r o u t m a n . c o m < / s e n d e r e m a i l >  
     < l a s t m o d i f i e d > 2 0 2 3 - 0 6 - 0 9 T 1 8 : 0 7 : 0 8 . 0 0 0 0 0 0 0 - 0 4 : 0 0 < / l a s t m o d i f i e d >  
     < d a t a b a s e > A C T I V E < / d a t a b a s e >  
 < / p r o p e r t i e s > 
</file>

<file path=customXml/itemProps1.xml><?xml version="1.0" encoding="utf-8"?>
<ds:datastoreItem xmlns:ds="http://schemas.openxmlformats.org/officeDocument/2006/customXml" ds:itemID="{2D5C2C26-254D-473B-9E01-BE4B2522C18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33</vt:i4>
      </vt:variant>
    </vt:vector>
  </HeadingPairs>
  <TitlesOfParts>
    <vt:vector size="61" baseType="lpstr">
      <vt:lpstr>Summary</vt:lpstr>
      <vt:lpstr>Attachment H-1</vt:lpstr>
      <vt:lpstr>FERC Form 1 Inputs</vt:lpstr>
      <vt:lpstr>Schedule 1 - Plant</vt:lpstr>
      <vt:lpstr>Schedule 1A - Svcs Co Plant_Rev</vt:lpstr>
      <vt:lpstr>Schedule 1B - Projected Plant</vt:lpstr>
      <vt:lpstr>Schedule 1C - Settlement Adjust</vt:lpstr>
      <vt:lpstr>Schedule 2 - ADIT</vt:lpstr>
      <vt:lpstr>Schedule 3 - Transmission Wages</vt:lpstr>
      <vt:lpstr>Schedule 4 - Regulatory Assets</vt:lpstr>
      <vt:lpstr>Schedule 5 Misc Def Debits</vt:lpstr>
      <vt:lpstr>Schedule 6 (Reserved)</vt:lpstr>
      <vt:lpstr>Schedule 7 - Working capital</vt:lpstr>
      <vt:lpstr>Schedule 8 Other Deferred</vt:lpstr>
      <vt:lpstr>Schedule 9 O&amp;M</vt:lpstr>
      <vt:lpstr>Schedule 10 TOTI</vt:lpstr>
      <vt:lpstr>Schedule 11 Income Tax</vt:lpstr>
      <vt:lpstr>Schedule 12 Revenue Credits</vt:lpstr>
      <vt:lpstr>Schedule12A FERC p328</vt:lpstr>
      <vt:lpstr>Schedule 13 Direct Assignment</vt:lpstr>
      <vt:lpstr>Schedule 13 A - Detail</vt:lpstr>
      <vt:lpstr>Schedule 14 ADIT</vt:lpstr>
      <vt:lpstr>Schedule 15 Interest Expense</vt:lpstr>
      <vt:lpstr>Schedule 16 - Rate Design </vt:lpstr>
      <vt:lpstr>Sch 17 - Trans Demand Allocator</vt:lpstr>
      <vt:lpstr>Sch 18 - Imputed WAPA Trans Exp</vt:lpstr>
      <vt:lpstr>Schedule 19 - Third Party Trans</vt:lpstr>
      <vt:lpstr>Sch 20 - Gen Demand Allocator</vt:lpstr>
      <vt:lpstr>'Attachment H-1'!Print_Area</vt:lpstr>
      <vt:lpstr>'Sch 17 - Trans Demand Allocator'!Print_Area</vt:lpstr>
      <vt:lpstr>'Sch 20 - Gen Demand Allocator'!Print_Area</vt:lpstr>
      <vt:lpstr>'Schedule 10 TOTI'!Print_Area</vt:lpstr>
      <vt:lpstr>'Schedule 11 Income Tax'!Print_Area</vt:lpstr>
      <vt:lpstr>'Schedule 12 Revenue Credits'!Print_Area</vt:lpstr>
      <vt:lpstr>'Schedule 16 - Rate Design '!Print_Area</vt:lpstr>
      <vt:lpstr>'Schedule 19 - Third Party Trans'!Print_Area</vt:lpstr>
      <vt:lpstr>'Schedule 1B - Projected Plant'!Print_Area</vt:lpstr>
      <vt:lpstr>'Schedule 2 - ADIT'!Print_Area</vt:lpstr>
      <vt:lpstr>'Attachment H-1'!Print_Titles</vt:lpstr>
      <vt:lpstr>'Sch 17 - Trans Demand Allocator'!Print_Titles</vt:lpstr>
      <vt:lpstr>'Sch 18 - Imputed WAPA Trans Exp'!Print_Titles</vt:lpstr>
      <vt:lpstr>'Sch 20 - Gen Demand Allocator'!Print_Titles</vt:lpstr>
      <vt:lpstr>'Schedule 1 - Plant'!Print_Titles</vt:lpstr>
      <vt:lpstr>'Schedule 10 TOTI'!Print_Titles</vt:lpstr>
      <vt:lpstr>'Schedule 11 Income Tax'!Print_Titles</vt:lpstr>
      <vt:lpstr>'Schedule 12 Revenue Credits'!Print_Titles</vt:lpstr>
      <vt:lpstr>'Schedule 13 Direct Assignment'!Print_Titles</vt:lpstr>
      <vt:lpstr>'Schedule 14 ADIT'!Print_Titles</vt:lpstr>
      <vt:lpstr>'Schedule 15 Interest Expense'!Print_Titles</vt:lpstr>
      <vt:lpstr>'Schedule 16 - Rate Design '!Print_Titles</vt:lpstr>
      <vt:lpstr>'Schedule 19 - Third Party Trans'!Print_Titles</vt:lpstr>
      <vt:lpstr>'Schedule 1A - Svcs Co Plant_Rev'!Print_Titles</vt:lpstr>
      <vt:lpstr>'Schedule 1B - Projected Plant'!Print_Titles</vt:lpstr>
      <vt:lpstr>'Schedule 2 - ADIT'!Print_Titles</vt:lpstr>
      <vt:lpstr>'Schedule 4 - Regulatory Assets'!Print_Titles</vt:lpstr>
      <vt:lpstr>'Schedule 5 Misc Def Debits'!Print_Titles</vt:lpstr>
      <vt:lpstr>'Schedule 6 (Reserved)'!Print_Titles</vt:lpstr>
      <vt:lpstr>'Schedule 7 - Working capital'!Print_Titles</vt:lpstr>
      <vt:lpstr>'Schedule 8 Other Deferred'!Print_Titles</vt:lpstr>
      <vt:lpstr>'Schedule 9 O&amp;M'!Print_Titles</vt:lpstr>
      <vt:lpstr>'Schedule12A FERC p328'!Print_Titles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 Jason</dc:creator>
  <cp:lastModifiedBy>Apodaca, Arin</cp:lastModifiedBy>
  <cp:lastPrinted>2023-11-20T18:55:58Z</cp:lastPrinted>
  <dcterms:created xsi:type="dcterms:W3CDTF">2015-02-10T00:13:12Z</dcterms:created>
  <dcterms:modified xsi:type="dcterms:W3CDTF">2025-05-01T15:15:36Z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67428c-8df2-41b3-925f-2e32f93f53ed_Enabled">
    <vt:lpwstr>true</vt:lpwstr>
  </property>
  <property fmtid="{D5CDD505-2E9C-101B-9397-08002B2CF9AE}" pid="3" name="MSIP_Label_f367428c-8df2-41b3-925f-2e32f93f53ed_SetDate">
    <vt:lpwstr>2022-04-04T14:52:43Z</vt:lpwstr>
  </property>
  <property fmtid="{D5CDD505-2E9C-101B-9397-08002B2CF9AE}" pid="4" name="MSIP_Label_f367428c-8df2-41b3-925f-2e32f93f53ed_Method">
    <vt:lpwstr>Standard</vt:lpwstr>
  </property>
  <property fmtid="{D5CDD505-2E9C-101B-9397-08002B2CF9AE}" pid="5" name="MSIP_Label_f367428c-8df2-41b3-925f-2e32f93f53ed_Name">
    <vt:lpwstr>f367428c-8df2-41b3-925f-2e32f93f53ed</vt:lpwstr>
  </property>
  <property fmtid="{D5CDD505-2E9C-101B-9397-08002B2CF9AE}" pid="6" name="MSIP_Label_f367428c-8df2-41b3-925f-2e32f93f53ed_SiteId">
    <vt:lpwstr>6c1ea1fd-d5ee-4dc8-bcfe-8877bd40388b</vt:lpwstr>
  </property>
  <property fmtid="{D5CDD505-2E9C-101B-9397-08002B2CF9AE}" pid="7" name="MSIP_Label_f367428c-8df2-41b3-925f-2e32f93f53ed_ActionId">
    <vt:lpwstr>3b3473e3-a00f-4e0f-b9c9-45998c2c9ec0</vt:lpwstr>
  </property>
  <property fmtid="{D5CDD505-2E9C-101B-9397-08002B2CF9AE}" pid="8" name="MSIP_Label_f367428c-8df2-41b3-925f-2e32f93f53ed_ContentBits">
    <vt:lpwstr>0</vt:lpwstr>
  </property>
  <property fmtid="{D5CDD505-2E9C-101B-9397-08002B2CF9AE}" pid="9" name="eDOCS AutoSave">
    <vt:lpwstr/>
  </property>
</Properties>
</file>